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\\10.63.35.129\direzione\COORDINAMENTO\0 Trasparenza\ANTICORRUZIONE E TRASPARENZA\2024\TRASPARENZA\Art. 30_introiti MENSILE\10. Ottobre\per pubblicazione\"/>
    </mc:Choice>
  </mc:AlternateContent>
  <xr:revisionPtr revIDLastSave="0" documentId="13_ncr:1_{9AEF06D1-88B4-401F-BF32-3A0F94156EDF}" xr6:coauthVersionLast="47" xr6:coauthVersionMax="47" xr10:uidLastSave="{00000000-0000-0000-0000-000000000000}"/>
  <bookViews>
    <workbookView xWindow="-108" yWindow="-108" windowWidth="23256" windowHeight="12576" activeTab="9" xr2:uid="{7E61600A-3894-42F7-858A-B171206199CA}"/>
  </bookViews>
  <sheets>
    <sheet name="M1" sheetId="1" r:id="rId1"/>
    <sheet name="M2" sheetId="2" r:id="rId2"/>
    <sheet name="M3" sheetId="3" r:id="rId3"/>
    <sheet name="M4" sheetId="4" r:id="rId4"/>
    <sheet name="M5" sheetId="5" r:id="rId5"/>
    <sheet name="M6" sheetId="6" r:id="rId6"/>
    <sheet name="M7" sheetId="7" r:id="rId7"/>
    <sheet name="M8" sheetId="8" r:id="rId8"/>
    <sheet name="M9" sheetId="9" r:id="rId9"/>
    <sheet name="TOTALI" sheetId="10" r:id="rId10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0" i="9" l="1"/>
  <c r="E70" i="9"/>
  <c r="F71" i="8"/>
  <c r="F135" i="7"/>
  <c r="E135" i="7"/>
  <c r="D68" i="9" l="1"/>
  <c r="E54" i="9"/>
  <c r="F35" i="9"/>
  <c r="E35" i="9"/>
  <c r="D35" i="9"/>
  <c r="F68" i="9"/>
  <c r="E68" i="9"/>
  <c r="F66" i="9"/>
  <c r="E66" i="9"/>
  <c r="D66" i="9"/>
  <c r="F64" i="9"/>
  <c r="E64" i="9"/>
  <c r="D64" i="9"/>
  <c r="F62" i="9"/>
  <c r="E62" i="9"/>
  <c r="D62" i="9"/>
  <c r="F58" i="9"/>
  <c r="E58" i="9"/>
  <c r="D58" i="9"/>
  <c r="F54" i="9"/>
  <c r="D54" i="9"/>
  <c r="G82" i="1" l="1"/>
  <c r="F82" i="1"/>
  <c r="E82" i="1"/>
  <c r="F80" i="1"/>
  <c r="E80" i="1"/>
  <c r="G80" i="1"/>
  <c r="G78" i="1"/>
  <c r="F78" i="1"/>
  <c r="E78" i="1"/>
  <c r="F68" i="1"/>
  <c r="G43" i="1"/>
  <c r="F43" i="1"/>
  <c r="G76" i="1"/>
  <c r="F76" i="1"/>
  <c r="E76" i="1"/>
  <c r="G74" i="1"/>
  <c r="F74" i="1"/>
  <c r="E74" i="1"/>
  <c r="G68" i="1"/>
  <c r="E68" i="1"/>
  <c r="E43" i="1"/>
  <c r="F109" i="6"/>
  <c r="E109" i="6"/>
  <c r="D109" i="6"/>
  <c r="F107" i="6"/>
  <c r="E107" i="6"/>
  <c r="D107" i="6"/>
  <c r="F86" i="6"/>
  <c r="E86" i="6"/>
  <c r="D86" i="6"/>
  <c r="E82" i="6"/>
  <c r="E58" i="6"/>
  <c r="F105" i="6" l="1"/>
  <c r="E105" i="6"/>
  <c r="D105" i="6"/>
  <c r="F93" i="6"/>
  <c r="E93" i="6"/>
  <c r="D93" i="6"/>
  <c r="F89" i="6"/>
  <c r="E89" i="6"/>
  <c r="D89" i="6"/>
  <c r="F82" i="6"/>
  <c r="D82" i="6"/>
  <c r="F58" i="6"/>
  <c r="D58" i="6"/>
  <c r="E118" i="7"/>
  <c r="D118" i="7"/>
  <c r="E114" i="7"/>
  <c r="F109" i="7"/>
  <c r="E109" i="7"/>
  <c r="D109" i="7"/>
  <c r="F133" i="7" l="1"/>
  <c r="E133" i="7"/>
  <c r="D133" i="7"/>
  <c r="F131" i="7"/>
  <c r="E131" i="7"/>
  <c r="D131" i="7"/>
  <c r="F128" i="7"/>
  <c r="E128" i="7"/>
  <c r="D128" i="7"/>
  <c r="F124" i="7"/>
  <c r="E124" i="7"/>
  <c r="D123" i="7"/>
  <c r="D122" i="7"/>
  <c r="D121" i="7"/>
  <c r="D120" i="7"/>
  <c r="D119" i="7"/>
  <c r="D124" i="7" s="1"/>
  <c r="F118" i="7"/>
  <c r="F114" i="7"/>
  <c r="D114" i="7"/>
  <c r="D106" i="7"/>
  <c r="D105" i="7"/>
  <c r="D99" i="7"/>
  <c r="D97" i="7"/>
  <c r="D96" i="7"/>
  <c r="D94" i="7"/>
  <c r="D92" i="7"/>
  <c r="D91" i="7"/>
  <c r="D89" i="7"/>
  <c r="D88" i="7"/>
  <c r="D86" i="7"/>
  <c r="D85" i="7"/>
  <c r="D79" i="7"/>
  <c r="D78" i="7"/>
  <c r="D76" i="7"/>
  <c r="D73" i="7"/>
  <c r="D72" i="7"/>
  <c r="D71" i="7"/>
  <c r="D70" i="7"/>
  <c r="D69" i="7"/>
  <c r="D67" i="7"/>
  <c r="D63" i="7"/>
  <c r="D62" i="7"/>
  <c r="D61" i="7"/>
  <c r="D60" i="7"/>
  <c r="D57" i="7"/>
  <c r="D56" i="7"/>
  <c r="D55" i="7"/>
  <c r="D54" i="7"/>
  <c r="D53" i="7"/>
  <c r="D50" i="7"/>
  <c r="D48" i="7"/>
  <c r="D42" i="7"/>
  <c r="D39" i="7"/>
  <c r="D35" i="7"/>
  <c r="D34" i="7"/>
  <c r="D33" i="7"/>
  <c r="D32" i="7"/>
  <c r="D30" i="7"/>
  <c r="D27" i="7"/>
  <c r="D26" i="7"/>
  <c r="D25" i="7"/>
  <c r="D24" i="7"/>
  <c r="D23" i="7"/>
  <c r="D18" i="7"/>
  <c r="D15" i="7"/>
  <c r="D13" i="7"/>
  <c r="D10" i="7"/>
  <c r="D8" i="7"/>
  <c r="D135" i="7" l="1"/>
  <c r="F80" i="4" l="1"/>
  <c r="E80" i="4"/>
  <c r="D80" i="4"/>
  <c r="F76" i="4"/>
  <c r="E76" i="4"/>
  <c r="D76" i="4"/>
  <c r="F72" i="4"/>
  <c r="E72" i="4"/>
  <c r="D72" i="4"/>
  <c r="E68" i="4"/>
  <c r="E62" i="4"/>
  <c r="E82" i="4" s="1"/>
  <c r="F78" i="4"/>
  <c r="E78" i="4"/>
  <c r="D78" i="4"/>
  <c r="F74" i="4"/>
  <c r="E74" i="4"/>
  <c r="D74" i="4"/>
  <c r="F68" i="4"/>
  <c r="D68" i="4"/>
  <c r="F62" i="4"/>
  <c r="F82" i="4" s="1"/>
  <c r="D62" i="4"/>
  <c r="D82" i="4" s="1"/>
  <c r="E71" i="8"/>
  <c r="D71" i="8"/>
  <c r="F69" i="8"/>
  <c r="E69" i="8"/>
  <c r="D69" i="8"/>
  <c r="F67" i="8"/>
  <c r="E67" i="8"/>
  <c r="D67" i="8"/>
  <c r="F65" i="8"/>
  <c r="E65" i="8"/>
  <c r="D65" i="8"/>
  <c r="E54" i="8"/>
  <c r="E47" i="8"/>
  <c r="F63" i="8"/>
  <c r="E63" i="8"/>
  <c r="D63" i="8"/>
  <c r="F60" i="8"/>
  <c r="E60" i="8"/>
  <c r="D60" i="8"/>
  <c r="F54" i="8"/>
  <c r="D54" i="8"/>
  <c r="F47" i="8"/>
  <c r="D47" i="8"/>
  <c r="F71" i="3"/>
  <c r="E71" i="3"/>
  <c r="D71" i="3"/>
  <c r="F69" i="3" l="1"/>
  <c r="E69" i="3"/>
  <c r="F67" i="3"/>
  <c r="E67" i="3"/>
  <c r="F65" i="3"/>
  <c r="E65" i="3"/>
  <c r="F63" i="3"/>
  <c r="E63" i="3"/>
  <c r="F61" i="3"/>
  <c r="E61" i="3"/>
  <c r="F57" i="3"/>
  <c r="E57" i="3"/>
  <c r="F52" i="3"/>
  <c r="E52" i="3"/>
  <c r="D69" i="3"/>
  <c r="D67" i="3"/>
  <c r="D65" i="3"/>
  <c r="D63" i="3"/>
  <c r="D61" i="3"/>
  <c r="D57" i="3"/>
  <c r="D52" i="3"/>
  <c r="D8" i="5" l="1"/>
  <c r="F67" i="5"/>
  <c r="E67" i="5"/>
  <c r="E45" i="5"/>
  <c r="F65" i="5"/>
  <c r="E65" i="5"/>
  <c r="D65" i="5"/>
  <c r="F63" i="5"/>
  <c r="E63" i="5"/>
  <c r="D63" i="5"/>
  <c r="F61" i="5"/>
  <c r="E61" i="5"/>
  <c r="D61" i="5"/>
  <c r="F59" i="5"/>
  <c r="E59" i="5"/>
  <c r="D59" i="5"/>
  <c r="F53" i="5"/>
  <c r="E53" i="5"/>
  <c r="D53" i="5"/>
  <c r="F49" i="5"/>
  <c r="E49" i="5"/>
  <c r="D49" i="5"/>
  <c r="F45" i="5"/>
  <c r="E44" i="5"/>
  <c r="D44" i="5"/>
  <c r="E43" i="5"/>
  <c r="E41" i="5"/>
  <c r="D41" i="5"/>
  <c r="E40" i="5"/>
  <c r="D40" i="5"/>
  <c r="E39" i="5"/>
  <c r="D39" i="5"/>
  <c r="E38" i="5"/>
  <c r="E36" i="5"/>
  <c r="D36" i="5"/>
  <c r="E34" i="5"/>
  <c r="D34" i="5"/>
  <c r="E33" i="5"/>
  <c r="E32" i="5"/>
  <c r="D32" i="5"/>
  <c r="E31" i="5"/>
  <c r="D31" i="5"/>
  <c r="E30" i="5"/>
  <c r="D30" i="5"/>
  <c r="E29" i="5"/>
  <c r="E28" i="5"/>
  <c r="D28" i="5"/>
  <c r="E27" i="5"/>
  <c r="E26" i="5"/>
  <c r="D26" i="5"/>
  <c r="E25" i="5"/>
  <c r="E23" i="5"/>
  <c r="D23" i="5"/>
  <c r="E21" i="5"/>
  <c r="E20" i="5"/>
  <c r="D20" i="5"/>
  <c r="E18" i="5"/>
  <c r="D18" i="5"/>
  <c r="E16" i="5"/>
  <c r="E14" i="5"/>
  <c r="D14" i="5"/>
  <c r="E13" i="5"/>
  <c r="E12" i="5"/>
  <c r="D12" i="5"/>
  <c r="E11" i="5"/>
  <c r="D11" i="5"/>
  <c r="E10" i="5"/>
  <c r="D10" i="5"/>
  <c r="E9" i="5"/>
  <c r="E8" i="5"/>
  <c r="F76" i="2"/>
  <c r="E76" i="2"/>
  <c r="D76" i="2"/>
  <c r="F74" i="2"/>
  <c r="E74" i="2"/>
  <c r="D74" i="2"/>
  <c r="F72" i="2"/>
  <c r="E72" i="2"/>
  <c r="D72" i="2"/>
  <c r="E71" i="2"/>
  <c r="F66" i="2"/>
  <c r="E66" i="2"/>
  <c r="D66" i="2"/>
  <c r="F64" i="2"/>
  <c r="E64" i="2"/>
  <c r="D64" i="2"/>
  <c r="F62" i="2"/>
  <c r="E62" i="2"/>
  <c r="D62" i="2"/>
  <c r="F58" i="2"/>
  <c r="E58" i="2"/>
  <c r="D58" i="2"/>
  <c r="F52" i="2"/>
  <c r="E52" i="2"/>
  <c r="D52" i="2"/>
  <c r="D45" i="5" l="1"/>
  <c r="D67" i="5" s="1"/>
  <c r="D70" i="9"/>
</calcChain>
</file>

<file path=xl/sharedStrings.xml><?xml version="1.0" encoding="utf-8"?>
<sst xmlns="http://schemas.openxmlformats.org/spreadsheetml/2006/main" count="1035" uniqueCount="588">
  <si>
    <t>Comune di Milano</t>
  </si>
  <si>
    <t>DIREZIONE SERVIZI CIVICI E MUNICIPI</t>
  </si>
  <si>
    <t>INTROITI PER CONCESSIONI DI LOCALI SCOLASTICI, SPAZI MULTIUSO, IMMOBILI E AREE - PERIODO: GENNAIO – OTTOBRE 2024</t>
  </si>
  <si>
    <t>MUNICIPIO 2</t>
  </si>
  <si>
    <t xml:space="preserve"> LOCALI SCOLASTICI E SPAZI MULTIUSO</t>
  </si>
  <si>
    <t>tipologia di procedimento</t>
  </si>
  <si>
    <t>totale canoni percepiti a partire da gennaio 2024</t>
  </si>
  <si>
    <t>tariffa oraria pattuita</t>
  </si>
  <si>
    <t>numero totale contratti 
gestiti</t>
  </si>
  <si>
    <t>Note 
(ragioni per cui il canone percepito è superiore al canone annuo pattuito ed aventuali altre annotazioni)</t>
  </si>
  <si>
    <t>concessioni in uso di locali scolastici (per singolo plesso)</t>
  </si>
  <si>
    <t>PALESTRA GRANDE VIA PONTANO, 43 – C.P.I.A. 5</t>
  </si>
  <si>
    <t>PALESTRA VIA GALVANI, 7 – I.C. GALVANI</t>
  </si>
  <si>
    <t>PALESTRA VIA FARA, 32 – I.C. GALVANI</t>
  </si>
  <si>
    <t>PALESTRA SOLARIUM VIA GIACOSA, 46 – I.C. CAPPELLI</t>
  </si>
  <si>
    <t>PADIGLIONE GRIOLI VIA GIACOSA, 46 – I.C. CAPPELLI</t>
  </si>
  <si>
    <t>PADIGLIONE BONGIOVANNI VIA GIACOSA, 46 – I.C. CAPPELLI</t>
  </si>
  <si>
    <t>PADIGLIONE TOMMASEO VIA GIACOSA, 46 – I.C. CAPPELLI</t>
  </si>
  <si>
    <t>PADIGLIONE GABELLI VIA GIACOSA, 46 – I.C. CAPPELLI</t>
  </si>
  <si>
    <t>PADIGLIONE ZADRA VIA GIACOSA, 46 – I.C. CAPPELLI</t>
  </si>
  <si>
    <t>AULA VIA GIACOSA, 46 – I.C. CAPPELLI</t>
  </si>
  <si>
    <t>PALESTRA VIA RUSSO, 23 – I.C. CAPPELLI</t>
  </si>
  <si>
    <t>AULA VIA RUSSO, 23 – I.C. CAPPELLI</t>
  </si>
  <si>
    <t>PALESTRA VIALE ZARA, 96 – I.C. ARBE-ZARA</t>
  </si>
  <si>
    <t>AULA VIALE ZARA, 96 – I.C. ARBE-ZARA</t>
  </si>
  <si>
    <t>CORTILE VIALE ZARA, 96 – I.C. ARBE-ZARA</t>
  </si>
  <si>
    <t>PALESTRA VIA CAGLIERO, 20 – I.C. FRANCESCHI</t>
  </si>
  <si>
    <t>AUDITORIUM VIA MUZIO, 5 – I.C. FRANCESCHI</t>
  </si>
  <si>
    <t>PALESTRA A VIA MUZIO, 5 – I.C. FRANCESCHI</t>
  </si>
  <si>
    <t>PALESTRA B VIA MUZIO, 5 – I.C. FRANCESCHI</t>
  </si>
  <si>
    <t>CORTILE VIA MUZIO, 5 – I.C. FRANCESCHI</t>
  </si>
  <si>
    <t>PALESTRA VIA FRIGIA, 4 – I.C. CALVINO</t>
  </si>
  <si>
    <t>PALESTRA VIA MATTEI, 12 – I.C. CALVINO</t>
  </si>
  <si>
    <t>ATRIO VIA MATTEI, 12 – I.C. CALVINO</t>
  </si>
  <si>
    <t>AULA TEATRO VIA SANT’UGUZZONE, 10 – I.C. CALVINO</t>
  </si>
  <si>
    <t>PALESTRA VIA SANT’UGUZZONE, 10 – I.C. CALVINO</t>
  </si>
  <si>
    <t>PALESTRA VIA ADRIANO, 60 – I.C. PERASSO</t>
  </si>
  <si>
    <t>PALESTRA VIA BOTTEGO, 4 – I.C. PERASSO</t>
  </si>
  <si>
    <t>AULA VIA BOTTEGO, 4 – I.C. PERASSO</t>
  </si>
  <si>
    <t>PALESTRA VIA SAN MAMETE, 11 – I.C. PERASSO</t>
  </si>
  <si>
    <t>PALESTRINA VIA SAN MAMETE, 11 – I.C. PERASSO</t>
  </si>
  <si>
    <t>ATRIO VIA SAN MAMETE, 11 – I.C. PERASSO</t>
  </si>
  <si>
    <t>PALESTRA VIA BOTTELLI, 1 – I.C. LOCATELLI-QUASIMODO</t>
  </si>
  <si>
    <t>PALESTRA VIA DELLA GIUSTIZIA, 6 – I.C. LOCATELLI-QUASIMODO</t>
  </si>
  <si>
    <t>PALESTRA VIA CESALPINO, 38 – I.C. PAOLO E LARISSA PINI</t>
  </si>
  <si>
    <t>PALESTRA VIA CESALPINO, 40 – I.C. PAOLO E LARISSA PINI</t>
  </si>
  <si>
    <t>PALESTRA VIA STEFANARDO DA VIMERCATE, 14 – I.C. PAOLO E LARISSA PINI</t>
  </si>
  <si>
    <t>PALESTRA VIA SANT’ERLEMBARDO, 4 – I.C. PAOLO E LARISSA PINI</t>
  </si>
  <si>
    <t>PALESTRA VIA VENINI, 80 – I.C. GIORGI</t>
  </si>
  <si>
    <t>AULA VIA VENINI, 80 – I.C. GIORGI</t>
  </si>
  <si>
    <t>AULA VIALE BRIANZA, 18 – I.C. GIORGI</t>
  </si>
  <si>
    <t>PALESTRA ALTA VIALE BRIANZA, 18 – I.C. GIORGI</t>
  </si>
  <si>
    <t>PALESTRA BASSA VIALE BRIANZA, 18 – I.C. GIORGI</t>
  </si>
  <si>
    <t>totale</t>
  </si>
  <si>
    <t>concessione in uso spazi multiuso</t>
  </si>
  <si>
    <t>CASCINA TURRO</t>
  </si>
  <si>
    <t>SALA ANFITEATRO MARTESANA</t>
  </si>
  <si>
    <t>SALA SANT’UGUZZONE</t>
  </si>
  <si>
    <t>IMMOBILI E AREE</t>
  </si>
  <si>
    <t>tipologia
immobile/ area 
indirizzo</t>
  </si>
  <si>
    <t>canone annuo pattuito</t>
  </si>
  <si>
    <t>Note
(ragioni per cui il canone percepito è superiore al canone annuo pattuito ed aventuali altre annotazioni)</t>
  </si>
  <si>
    <t>concessione d'uso immobili per progetti di sviluppo di attività culturali ed economiche</t>
  </si>
  <si>
    <t>concessione in uso particelle ortive</t>
  </si>
  <si>
    <t>concessione impianti sportivi</t>
  </si>
  <si>
    <t>concessioni in uso di spazi diversi dai precedenti</t>
  </si>
  <si>
    <t>struttura monopiano ex edificio scolastico scuola materna/ Via Sant'Uguzzone, 8 concessionario ATI casa dei Giochi</t>
  </si>
  <si>
    <t>Anfiteatro Martesana / concessionario ETC Ecologia Turismo e Cultura</t>
  </si>
  <si>
    <t xml:space="preserve">Sono decurtate dal canone le spese inerenti gli interventi di recupero edilizio ed impiantistico del fabbricato. </t>
  </si>
  <si>
    <t>Anfiteatro Martesana / concessionario Associazione 42</t>
  </si>
  <si>
    <t>Contratto concluso a dicembre 2023. Quota arretrata introitata ad agosto 2024, composta da una rata trimestrale e il residuo di una rata pregressa.</t>
  </si>
  <si>
    <t>bar all'interno del Parco Franca Rame concessionario Alma Bar</t>
  </si>
  <si>
    <t xml:space="preserve">Alloggio custodia plesso scolastico via Frigia 4 - Associazione Sportiva Dilettantistica San  Gabriele Basket </t>
  </si>
  <si>
    <t>concessioni in comodato d'uso</t>
  </si>
  <si>
    <r>
      <rPr>
        <b/>
        <sz val="12"/>
        <color rgb="FF000000"/>
        <rFont val="Calibri"/>
        <family val="2"/>
        <charset val="1"/>
      </rPr>
      <t xml:space="preserve">TOTALE GENERALE
</t>
    </r>
    <r>
      <rPr>
        <sz val="11"/>
        <color theme="1"/>
        <rFont val="Aptos Narrow"/>
        <family val="2"/>
        <scheme val="minor"/>
      </rPr>
      <t>importo comprensivo di I.V.A. ai sensi di legge</t>
    </r>
  </si>
  <si>
    <t>*Il documento è firmato digitalmente ai sensi del D. Lgs. 82/2005 s.m.i. e norme collegate e sostituisce il documento cartaceo e la firma autografa.</t>
  </si>
  <si>
    <r>
      <t xml:space="preserve">totale canoni percepiti da </t>
    </r>
    <r>
      <rPr>
        <b/>
        <i/>
        <sz val="12"/>
        <rFont val="Calibri"/>
        <family val="2"/>
        <charset val="1"/>
      </rPr>
      <t>gennaio 2024</t>
    </r>
  </si>
  <si>
    <t>totale tariffe orarie e 
canoni annui pattuiti</t>
  </si>
  <si>
    <r>
      <t xml:space="preserve">TOTALE GENERALE 9 MUNICIPI
</t>
    </r>
    <r>
      <rPr>
        <sz val="14"/>
        <color theme="1"/>
        <rFont val="Aptos Narrow"/>
        <family val="2"/>
        <charset val="1"/>
        <scheme val="minor"/>
      </rPr>
      <t>importo comprensivo di I.V.A. ai sensi di legge</t>
    </r>
  </si>
  <si>
    <t>Milano, 4 novembre 2024</t>
  </si>
  <si>
    <t>La responsabile Unità coordinamento</t>
  </si>
  <si>
    <t>Municipio 2</t>
  </si>
  <si>
    <t>*Dr.ssa Loredana Bellanca</t>
  </si>
  <si>
    <t>Originale sottoscritto conservato presso la Direzione Servizi Civici e Municipi - Area Municipi</t>
  </si>
  <si>
    <t>nessuna concessione</t>
  </si>
  <si>
    <t>gratuita</t>
  </si>
  <si>
    <t>INTROITI PER CONCESSIONI DI LOCALI SCOLASTICI, SPAZI MULTIUSO, IMMOBILI E AREE - PERIODO: GENNAIO -  OTTOBRE 2024</t>
  </si>
  <si>
    <t>MUNICIPIO 5</t>
  </si>
  <si>
    <t>tipologia
immobile/ area
indirizzo</t>
  </si>
  <si>
    <t>ICS  ARCADIA - Via dell'Arcadia 22 
scuola primaria Arcadia 
palestra mq 847
aula psicomotricità mq 52</t>
  </si>
  <si>
    <t>ICS ARCADIA - Via dell'Arcadia 24 
scuola secondaria Arcadia 
palestra mq 848</t>
  </si>
  <si>
    <t>ICS ARCADIA - Via Baroni 73 (saponaro 36) 
scuola primaria Baroni 
palestra mq 260</t>
  </si>
  <si>
    <t>ICS ARCADIA Via Feraboli 44 
scuola Primaria Feraboli 
palestra grande mq 306 
palestra piccola mq 173</t>
  </si>
  <si>
    <t>ICS BAROZZI Via Bocconi 17 
scuola primaria Barozzi 
palestra mq 264
aula sostegno mq 32</t>
  </si>
  <si>
    <t>ICS BAROZZI Via G. Romano 2 
scuola primaria Giulio Romano 
palestra mq 186</t>
  </si>
  <si>
    <t>ICS BAROZZI Via Vittadini 10 
Scuola Confalonieri 
palestra mq 290
aula magna mq 110</t>
  </si>
  <si>
    <t>IC CAPPONI Via Pescarenico 6 
Elementare "MORO" 
palestra mq 242 
aula ora alternativa mq 34
aula teatro mq 86</t>
  </si>
  <si>
    <t>ICS Elsa Morante - Via Antonini 50 - Scuola primaria Damiano Chiesa 
palestra di mq 165 
aula di 50 mq                                                              corridoio 200-500 mq</t>
  </si>
  <si>
    <t>ICS Elsa Morante - Via dei Bognetti 15 
Scuola primaria 
palestra grande mq 374 
palestra piccola mq 280
aula mq 34
aula mq 17</t>
  </si>
  <si>
    <t>ICS Elsa Morante - Via Heine 2 
Scuola Secondaria 
palestra grande mq 436
palestra piccola mq 215</t>
  </si>
  <si>
    <t>ICS F. FILZI Via dei Guarneri 21 
scuola media Toscanini 
palestra mq 615</t>
  </si>
  <si>
    <t>ICS F. FILZI Via Wolf Ferrari 6 
Scuola primaria 
palestra mq 252 
aula giochi serali mq 46</t>
  </si>
  <si>
    <t>IC PALMIERI Via Palmieri 24 
scuola primaria C. Battisti
palestra mq 180</t>
  </si>
  <si>
    <t>IC PALMIERI Via S. Giacomo 1 
scuola primaria C. Peroni 
palestra mq 250 
palestrina psicomotricità mq 82 aula scacchi mq 40</t>
  </si>
  <si>
    <t>IC PALMIERI Via Boifava 52 
scuola secondaria 
S. Pertini 
palestra mq 263</t>
  </si>
  <si>
    <t>IC THOUAR GONZAGA via Brunacci 2/4
scuola primaria
palestra mq 176</t>
  </si>
  <si>
    <t>IC THOUAR GONZAGA Via Gentilino 14  
scuola primaria 
Plesso Piolti de Bianchi - G. Stampa 
palestra mq 235 
n. 1 aula mq 63</t>
  </si>
  <si>
    <t>IC THOUAR GONZAGA Via Tabacchi 15/A 
scuola secondaria di I grado 
O. TABACCHI 
palestra mq 235</t>
  </si>
  <si>
    <t>salone C.A.M. via Palmieri 18/20</t>
  </si>
  <si>
    <t>la tariffa è fissata, per atto interno, fino ad un massimo di 4 ore. Per slot aggiuntivi vi sono tariffe variabili</t>
  </si>
  <si>
    <t>salone C.A.M. via Saponaro 30</t>
  </si>
  <si>
    <t>C.A.M. viale Tibaldi 41</t>
  </si>
  <si>
    <t>Via San Bernardo 17</t>
  </si>
  <si>
    <t>via Campazzino</t>
  </si>
  <si>
    <t>via Teresa Noce</t>
  </si>
  <si>
    <t>2 orti vuoti</t>
  </si>
  <si>
    <t>via Selvanesco</t>
  </si>
  <si>
    <t>via Vaiano Valle</t>
  </si>
  <si>
    <t>via Bottoni</t>
  </si>
  <si>
    <t>Concessioni temporaneamente sospese per indagine terreni con Dir. Ambiente e Uni Bicocca</t>
  </si>
  <si>
    <t>Milano, 31 ottobre 2024</t>
  </si>
  <si>
    <t>La Responsabile Unità Coordinamento</t>
  </si>
  <si>
    <t>Municipio 5</t>
  </si>
  <si>
    <t>*Dr.ssa  Valeria Furnari</t>
  </si>
  <si>
    <t>MUNICIPIO 3</t>
  </si>
  <si>
    <t>I.C Stoppani plesso primaria Bacone 
via Matteucci 3
Palestra grande</t>
  </si>
  <si>
    <t>I.C Stoppani plesso primaria Bacone 
via Matteucci 3
Palestra piccola</t>
  </si>
  <si>
    <t>I.C Stoppani plesso primaria Bacone 
via Matteucci 3
Aula Cinema</t>
  </si>
  <si>
    <t>I.C Stoppani plesso primaria Bacone 
via Matteucci 3
Aula Tatami</t>
  </si>
  <si>
    <t>I.C Stoppani plesso primaria Stoppani 
via Stoppani 1
Palestra grande</t>
  </si>
  <si>
    <t>I.C Stoppani plesso secondaria Caterina da Siena 
via Monteverdi 6
Palestra grande</t>
  </si>
  <si>
    <t>I.C. Scarpa plesso primaria Scarpa
via Clericetti 22
Palestra</t>
  </si>
  <si>
    <t>I.C. Scarpa plesso primaria Scarpa
via Clericetti 22
Aula</t>
  </si>
  <si>
    <t>I.C. Scarpa plesso primaria Elsa Morante
via Pini 3
Palestra</t>
  </si>
  <si>
    <t>I.C. Scarpa plesso primaria Elsa Morante
via Pini 3
Aula</t>
  </si>
  <si>
    <t>I.C. Scarpa plesso secondaria Cairoli
via Pascal 35
Palestra</t>
  </si>
  <si>
    <t>I.C. Scarpa plesso secondaria Cairoli
via Pascal 35
Aula</t>
  </si>
  <si>
    <t>I.C Guido Galli primaria Nolli Arquati
V.le Romagna 16/18
Palestra superiore</t>
  </si>
  <si>
    <t>I.C Guido Galli primaria Nolli Arquati
V.le Romagna 16/18
Palestra inferiore</t>
  </si>
  <si>
    <t>I.C Guido Galli primaria Nolli Arquati
V.le Romagna 16/18
Aula teatro</t>
  </si>
  <si>
    <t xml:space="preserve">I.C Guido Galli primaria Nolli Arquati
V.le Romagna 16/18
Aula </t>
  </si>
  <si>
    <t>I.C Guido Galli primaria Bonetti
via Tajani 12
Palestra</t>
  </si>
  <si>
    <t>I.C Guido Galli primaria Bonetti
via Tajani 12
Aula</t>
  </si>
  <si>
    <t>I.C Guido Galli primaria Toti
via Cima 15
Palestra</t>
  </si>
  <si>
    <t>I.C Guido Galli primaria Toti
via Cima 15
Aula</t>
  </si>
  <si>
    <t>I.C Maniago plesso primaria Munari
via Feltre 68
Palestra</t>
  </si>
  <si>
    <t>I.C Maniago plesso primaria Munari
via Feltre 68
Aula</t>
  </si>
  <si>
    <t>I.C Maniago plesso primaria Fermi
via Carnia 32
Palestra</t>
  </si>
  <si>
    <t>I.C Maniago plesso primaria Fermi
via Carnia 32
Aula</t>
  </si>
  <si>
    <t>I.C Maniago plesso secondaria Buzzati
via Maniago 30
Palestra grande</t>
  </si>
  <si>
    <t>I.C Maniago plesso secondaria Buzzati
via Maniago 30
Palestra piccola</t>
  </si>
  <si>
    <t>I.C Maniago plesso secondaria Buzzati
via Maniago 30
Aula</t>
  </si>
  <si>
    <t>I.C Pisacane plesso primaria Pisacane
via Pisacane 9
Palestra grande</t>
  </si>
  <si>
    <t>I.C Pisacane plesso primaria Pisacane
via Pisacane 9
Palestra piccola</t>
  </si>
  <si>
    <t>I.C Pisacane plesso primaria Pisacane
via Pisacane 9
Aula</t>
  </si>
  <si>
    <t>I.C Pisacane plesso secondaria Locatelli Oriani
via Pisacane 13
Palestra</t>
  </si>
  <si>
    <t>I.C Pisacane plesso secondaria Locatelli Oriani
via Pisacane 13
Aula</t>
  </si>
  <si>
    <t>I.C. Galvani plesso primaria M. di Savoia e C. Borromeo
via Casati 6
Palestra</t>
  </si>
  <si>
    <t>I.C. Galvani plesso primaria M. di Savoia e C. Borromeo
via Casati 6
Aula teatro</t>
  </si>
  <si>
    <t>I.C. Galvani plesso primaria M. di Savoia e C. Borromeo
via Casati 6
Aula</t>
  </si>
  <si>
    <t>I.C. Quintino di Vona primaria Tito Speri
via Porpora 11
Palestra</t>
  </si>
  <si>
    <t>I.C. Quintino di Vona primaria Tito Speri
via Porpora 11
Aula</t>
  </si>
  <si>
    <t>I.C. Quintino di Vona secondaria
via Sacchini 34
Palestra</t>
  </si>
  <si>
    <t>I.C. Quintino di Vona secondaria
via Sacchini 34
Aula</t>
  </si>
  <si>
    <t>I.C. Leonardo da Vinci
Piazza Leonardo da Vinvci
Palestra piccola</t>
  </si>
  <si>
    <t xml:space="preserve">Palestra
Via Pini 1
</t>
  </si>
  <si>
    <t>Spazio in carico al Municipio 3 gestito con la stessa procedura dei locali scolastici.</t>
  </si>
  <si>
    <t>Via Sansovino, 9
Aula Consiliare</t>
  </si>
  <si>
    <t>Gratuità prevista con Delibera per le istituzioni scolastiche e i gruppi consiliari del Municipio 3.</t>
  </si>
  <si>
    <t>Via Val Vassori Peroni, 56
Auditorium</t>
  </si>
  <si>
    <t>Orti ubicati in via Canelli Folli</t>
  </si>
  <si>
    <t>Via Tucidide, 10
Centro sportivo Scarioni</t>
  </si>
  <si>
    <t>BAR
via Valvassori Peroni</t>
  </si>
  <si>
    <t>Contratto di concessione iniziato il 01/06/2024</t>
  </si>
  <si>
    <r>
      <rPr>
        <b/>
        <sz val="12"/>
        <color theme="1"/>
        <rFont val="Aptos Narrow"/>
        <family val="2"/>
        <scheme val="minor"/>
      </rPr>
      <t>TOTALE GENERALE</t>
    </r>
    <r>
      <rPr>
        <b/>
        <sz val="11"/>
        <color theme="1"/>
        <rFont val="Aptos Narrow"/>
        <family val="2"/>
        <scheme val="minor"/>
      </rPr>
      <t xml:space="preserve">
</t>
    </r>
    <r>
      <rPr>
        <sz val="11"/>
        <color theme="1"/>
        <rFont val="Aptos Narrow"/>
        <family val="2"/>
        <scheme val="minor"/>
      </rPr>
      <t>importo comprensivo di I.V.A. ai sensi di legge</t>
    </r>
  </si>
  <si>
    <t>Municipio 3</t>
  </si>
  <si>
    <t>Dr.ssa  Elisabetta Pedratti</t>
  </si>
  <si>
    <t>INTROITI PER CONCESSIONI DI LOCALI SCOLASTICI, SPAZI MULTIUSO, IMMOBILI E AREE - PERIODO: GENNAIO - OTTOBRE 2024</t>
  </si>
  <si>
    <t>Milano, 7 novembre 2024</t>
  </si>
  <si>
    <t>Canoni rivalutati sulla base dell'indice ISTAT</t>
  </si>
  <si>
    <t>DIREZIONE SERVIZI CIVICI E  MUNICIPI</t>
  </si>
  <si>
    <t xml:space="preserve"> MUNICIPIO 8</t>
  </si>
  <si>
    <t>PISCINA Scuola primaria via C. da Castello, 10</t>
  </si>
  <si>
    <t>PALESTRA Scuola primaria via Cilea, 12</t>
  </si>
  <si>
    <t>PALESTRA Via Cittadini, 9</t>
  </si>
  <si>
    <t>AULA via Console Marcello, 9</t>
  </si>
  <si>
    <t>PALESTRA Scuola primaria via Delle Ande, 4</t>
  </si>
  <si>
    <t>PALESTRA Scuola primaria via Gattamelata, 35</t>
  </si>
  <si>
    <t>AULE Scuola primaria via Gattamelata, 35</t>
  </si>
  <si>
    <t>PALESTRA Scuola primaria via Graf, 70</t>
  </si>
  <si>
    <t>PALESTRINA Scuola primaria via Graf, 70</t>
  </si>
  <si>
    <t>ATRIO Scuola primaria via Graf, 70</t>
  </si>
  <si>
    <t>PALESTRA Scuola primaria via Mac Mahon, 100</t>
  </si>
  <si>
    <t>AULE Scuola primaria via Mac Mahon, 100</t>
  </si>
  <si>
    <t>AULE Scuola primaria via Mantegna, 10</t>
  </si>
  <si>
    <t>AULE Musica Scuola primaria via Mantegna, 10</t>
  </si>
  <si>
    <t>PALESTRA Scuola primaria via Mantegna, 10</t>
  </si>
  <si>
    <t>PALESTRA Scuola primaria via Moscati, 1</t>
  </si>
  <si>
    <t>AULA Scuola primaria via Moscati, 1</t>
  </si>
  <si>
    <t>PALESTRA via Pareto, 26</t>
  </si>
  <si>
    <t>AULA via Pareto, 26</t>
  </si>
  <si>
    <t>PALESTRA S.M.Nascente</t>
  </si>
  <si>
    <t>AULA S.M.Nascente</t>
  </si>
  <si>
    <t>PALESTRA via Val Lagarina, 44</t>
  </si>
  <si>
    <t>PALESTRA Scuola primaria via Visconti, 16</t>
  </si>
  <si>
    <t>PALESTRA Scuola primaria via Viscontini, 7</t>
  </si>
  <si>
    <t>PALESTRA Scuola Sec. di 1° grado via Borsa, 26</t>
  </si>
  <si>
    <t>PALESTRINA Scuola Sec. di 1° grado via C. da Castello, 9</t>
  </si>
  <si>
    <t>PALESTRA Scuola Sec. di 1° grado via C. da Castello, 9</t>
  </si>
  <si>
    <t>AULA Scuola Sec. di 1° grado via C. da Castello, 9</t>
  </si>
  <si>
    <t>SPAZIO TEATRO Scuola Sec. di 1° grado via C. da Castello, 9</t>
  </si>
  <si>
    <t>Scuola Sec. di 1° grado via Graf, 74</t>
  </si>
  <si>
    <t>Scuola Sec. di 1° grado via Linneo, 2</t>
  </si>
  <si>
    <t>Scuola Sec. di 1° grado via Ojetti, 13</t>
  </si>
  <si>
    <t>PALESTRA Scuola Sec. di 1° grado via P. Uccello, 1/A</t>
  </si>
  <si>
    <t>PALESTRA Scuola Sec. di 1° grado via Quarenghi, 14</t>
  </si>
  <si>
    <t>PALESTRA Scuola Primaria via Orsini, 25</t>
  </si>
  <si>
    <t>PALESTRA Scuola Primaria via Lovere, 4</t>
  </si>
  <si>
    <t>AULA ARTISTICA Scuola Sec. di 1° grado via Quarenghi, 14</t>
  </si>
  <si>
    <t>PALESTRA Scuola de Rossi, 2</t>
  </si>
  <si>
    <t>Auditorium via Quarenghi, 21</t>
  </si>
  <si>
    <t>l'importo si riferisce fino a 4 ore - € 134,00 oltre le 4 ore</t>
  </si>
  <si>
    <t>Atrio sala consiliare via Quarenghi, 21</t>
  </si>
  <si>
    <t>l'importo si riferisce fino a 4 ore - ogni ora in più € 3,70</t>
  </si>
  <si>
    <t>CAM Lessona via Lessona, 20</t>
  </si>
  <si>
    <t>l'importo si riferisce fino a 4 ore - ogni ora in più € 1,20</t>
  </si>
  <si>
    <t>CAM Lampugnano via Lampugnano, 145</t>
  </si>
  <si>
    <t>l'importo si riferisce fino a 4 ore - ogni ora in più € 5,00</t>
  </si>
  <si>
    <t>CAM Pecetta via della Pecetta, 29</t>
  </si>
  <si>
    <t xml:space="preserve">l'importo si riferisce fino a 4 ore - ogni ora in più € 1,20
</t>
  </si>
  <si>
    <t>CAM Jacopino via J. Da Tradate, 9</t>
  </si>
  <si>
    <t>Fondazione Perini - via Aldini 72</t>
  </si>
  <si>
    <t>CGIL - Pagoda piazza Gramsci</t>
  </si>
  <si>
    <t>Fondazione Terre des Hommes Italia Onlus - via Appennini 50</t>
  </si>
  <si>
    <t>via Aldini</t>
  </si>
  <si>
    <t>Via Lampugnano</t>
  </si>
  <si>
    <t>Il Direttore Operativo Ambito 2</t>
  </si>
  <si>
    <t>dott.ssa Gabriella Della Valle</t>
  </si>
  <si>
    <t>Il documento è firmato digitalmente ai sensi del D. Lgs. 82/2005 s.m.i. e norme collegate e sostituisce il documento cartaceo e la firma autografa.</t>
  </si>
  <si>
    <t>MUNICIPIO 4</t>
  </si>
  <si>
    <t>Palestra Scuola Secondaria Via Mondolfo</t>
  </si>
  <si>
    <t>Palestra Scuola Primaria Via Sordello</t>
  </si>
  <si>
    <t xml:space="preserve">Salone Scuola Primaria Via Sordello </t>
  </si>
  <si>
    <t xml:space="preserve">Aula doposcuola Scuola Primaria Via Sordello </t>
  </si>
  <si>
    <t xml:space="preserve">Palestra Scuola Primaria L.go G. Gonzaga </t>
  </si>
  <si>
    <t xml:space="preserve">Aula sostegno Scuola Primaria L.go G. Gonzaga </t>
  </si>
  <si>
    <t>Aula Scuola Primaria L.go G. Gonzaga</t>
  </si>
  <si>
    <t>Palestra Scuola Primaria Via U. di Nemi</t>
  </si>
  <si>
    <t>Palestra piano terra Scuola Primaria Via Monte Piana</t>
  </si>
  <si>
    <t>Aula Scuola Primaria Via Monte Piana</t>
  </si>
  <si>
    <t xml:space="preserve">Palestra primo piano Scuola Primaria Via Monte Popera </t>
  </si>
  <si>
    <t>Palestra Scuola Secondaria Via Medici del Vascello</t>
  </si>
  <si>
    <t xml:space="preserve">Palestra Scuola Primaria Viale Mugello </t>
  </si>
  <si>
    <t xml:space="preserve">Aula Teatro Scuola Primaria Viale Mugello </t>
  </si>
  <si>
    <t xml:space="preserve">Aula Scuola Primaria Viale Mugello </t>
  </si>
  <si>
    <t xml:space="preserve">Palestra Scuola Secondaria Via Cipro </t>
  </si>
  <si>
    <t xml:space="preserve">Palestra Scuola Primaria Via Polesine </t>
  </si>
  <si>
    <t xml:space="preserve">Palestra piano terra Scuola Primaria Via Oglio </t>
  </si>
  <si>
    <t xml:space="preserve">Palestra Scuola Secondaria Via Mincio </t>
  </si>
  <si>
    <t xml:space="preserve">Palestra  Scuola Primaria Via Monte Velino </t>
  </si>
  <si>
    <t>Auditorium Scuola Secondaria                     Tito Livio</t>
  </si>
  <si>
    <t xml:space="preserve">Palestra Scuola Secondaria Tito Livio </t>
  </si>
  <si>
    <t xml:space="preserve">Palestra piano terra Scuola Primaria Via Colletta </t>
  </si>
  <si>
    <t xml:space="preserve">Palestra primo piano Scuola Primaria Via Colletta </t>
  </si>
  <si>
    <t>Atrio primo piano lato ascensore Scuola Primaria Via Colletta</t>
  </si>
  <si>
    <t>Atrio primo piano lato materna Scuola Primaria Via Colletta</t>
  </si>
  <si>
    <t>Palestra grande Scuola Primaria Via Ravenna</t>
  </si>
  <si>
    <t xml:space="preserve">Palestra primo piano Scuola Primaria Via Morosini </t>
  </si>
  <si>
    <t xml:space="preserve">Palestra piano terra Scuola Primaria Via Morosini </t>
  </si>
  <si>
    <t xml:space="preserve">Laboratorio Psicomotricità Scuola Primaria Via Morosini </t>
  </si>
  <si>
    <t xml:space="preserve">Salone /Androne Scuola Primaria Via Morosini </t>
  </si>
  <si>
    <t xml:space="preserve">Aula Scuola Primaria Via Morosini </t>
  </si>
  <si>
    <t xml:space="preserve">Aula musica Scuola Primaria Via Morosini </t>
  </si>
  <si>
    <t>Palestra Scuola Secondaria Via Bezzecca</t>
  </si>
  <si>
    <t>Palestra lato Mezzofanti Scuola Primaria Via Mezzofanti</t>
  </si>
  <si>
    <t xml:space="preserve">Palestra lato Devoto Scuola Primaria Via Mezzofanti </t>
  </si>
  <si>
    <t xml:space="preserve">Palestrina aula musica Scuola Primaria Via Mezzofanti </t>
  </si>
  <si>
    <t xml:space="preserve">Aula LIM n. 28 Scuola Primaria Via Mezzofanti </t>
  </si>
  <si>
    <t xml:space="preserve">Palestra Scuola Secondaria Via Dalmazia </t>
  </si>
  <si>
    <t>Palestra piano rialzato Scuola Secondaria Via de Andreis</t>
  </si>
  <si>
    <t>Palestra piano seminterrato Scuola Secondaria Via de Andreis</t>
  </si>
  <si>
    <t xml:space="preserve">Palestra Scuola Primaria Via Decorati </t>
  </si>
  <si>
    <t>Aula Scuola Primaria Via Decorati</t>
  </si>
  <si>
    <t xml:space="preserve">Palestra Scuola Primaria Via Meleri </t>
  </si>
  <si>
    <t xml:space="preserve">Aula inglese Scuola Primaria Via Meleri </t>
  </si>
  <si>
    <t xml:space="preserve">Aula arti marziali Scuola Primaria Via Meleri </t>
  </si>
  <si>
    <t>Palestra Scuola Secondaria Via Cova</t>
  </si>
  <si>
    <t xml:space="preserve">Palestra Scuola Primaria Via Martinengo </t>
  </si>
  <si>
    <t xml:space="preserve">Palestrina Scuola Primaria Via Martinengo </t>
  </si>
  <si>
    <t xml:space="preserve">Palestra Scuola Primaria Viale Puglie </t>
  </si>
  <si>
    <t>Cam Mondolfo</t>
  </si>
  <si>
    <t xml:space="preserve">non si tratta di una tariffa oraria, ma di una tarifa relativa ad un blocco di utilizzo di 4h a cui si aggiunge una tariffa oraria per ogni ora di utilizzo oltre  le prime 4 </t>
  </si>
  <si>
    <t>Salone del Polo Ferrara</t>
  </si>
  <si>
    <t>Chiosco Pizzolpasso</t>
  </si>
  <si>
    <t>Parco Alessandrini</t>
  </si>
  <si>
    <t>Parco G. Cassinis</t>
  </si>
  <si>
    <t>Il Responsabile Unità Coordinamento</t>
  </si>
  <si>
    <t>Municipio 4</t>
  </si>
  <si>
    <t>*Dr. Tommaso Innocente</t>
  </si>
  <si>
    <t>Milano, 8 novembre 2024</t>
  </si>
  <si>
    <t xml:space="preserve">INTROITI PER CONCESSIONI DI LOCALI SCOLASTICI, SPAZI MULTIUSO, IMMOBILI E AREE - PERIODO: GENNAIO - OTTOBRE 2024 </t>
  </si>
  <si>
    <t xml:space="preserve">MUNICIPIO 7 </t>
  </si>
  <si>
    <t>Via Lamennais 20 - palestra</t>
  </si>
  <si>
    <t>Via Lamennais 20 - aule</t>
  </si>
  <si>
    <t>Nessuna concessione</t>
  </si>
  <si>
    <t>Via Lamennais 20 - cortile</t>
  </si>
  <si>
    <t>Via Dolci 5 - palestra</t>
  </si>
  <si>
    <t>Via Constant 19 - palestra</t>
  </si>
  <si>
    <t>Via Airaghi 42 - palestra</t>
  </si>
  <si>
    <t>Via San Giusto 65 - palestra</t>
  </si>
  <si>
    <t>Via San Giusto 65 - aula tatami</t>
  </si>
  <si>
    <t>Via San Giusto 65 - aule</t>
  </si>
  <si>
    <t>Via Rasori 19 - palestra</t>
  </si>
  <si>
    <t>Via Rasori 19 - aule</t>
  </si>
  <si>
    <t>Via Rasori 19 - cortile</t>
  </si>
  <si>
    <t>Via Rasori 19 - palestrina</t>
  </si>
  <si>
    <t>Via Mauri 10 - cortile</t>
  </si>
  <si>
    <t>Via Mauri 10 - palestra</t>
  </si>
  <si>
    <t>Via Mauri 10 - aule</t>
  </si>
  <si>
    <t>Via Colonna 42 - aule</t>
  </si>
  <si>
    <t>Via Colonna 42 - palestra</t>
  </si>
  <si>
    <t>Via Colonna 42 - palestrina</t>
  </si>
  <si>
    <t>Piazza Sicilia 2 - aula/teatro</t>
  </si>
  <si>
    <t>Piazza Sicilia 2 - palestra Seprio</t>
  </si>
  <si>
    <t>Piazza Sicilia 2 - cortile</t>
  </si>
  <si>
    <t>Piazza Sicilia 2 - palestra Sacco/Sard</t>
  </si>
  <si>
    <t>Via Val D'Intelvi 11 - palestra</t>
  </si>
  <si>
    <t>Via Val D'Intelvi 11 - aula</t>
  </si>
  <si>
    <t>Via Val D'Intelvi 11 - palestrina/teatro</t>
  </si>
  <si>
    <t>Via Milesi 4 - palestra</t>
  </si>
  <si>
    <t>Via Forze Armate 279 - palestra</t>
  </si>
  <si>
    <t>Via Forze Armate 279 - aule</t>
  </si>
  <si>
    <t>Via Valdagno 8 - aule</t>
  </si>
  <si>
    <t>Via Valdagno 8 - palestra</t>
  </si>
  <si>
    <t>Via Viterbo 31 - palestra</t>
  </si>
  <si>
    <t>Via Don Gnocchi 25 - palestra</t>
  </si>
  <si>
    <t>Via Don Gnocchi 25 - aule</t>
  </si>
  <si>
    <t>Piazza Axum 5 - palestra</t>
  </si>
  <si>
    <t>Piazza Axum 5 - aule</t>
  </si>
  <si>
    <t>Via Paravia 83 - aula</t>
  </si>
  <si>
    <t>Via Paravia 83 - giardino esterno</t>
  </si>
  <si>
    <t>Via Delle Betulle 17 - palestra</t>
  </si>
  <si>
    <t>Via Dei Salici 2 - palestra</t>
  </si>
  <si>
    <t>Via Loria 37 - aula</t>
  </si>
  <si>
    <t>Via Loria 37 - palestra grande</t>
  </si>
  <si>
    <t>Via Loria 37 - palestra piccola</t>
  </si>
  <si>
    <t>Via Forze Armate 65 - giardino</t>
  </si>
  <si>
    <t>Via Forze Armate 65 - aula</t>
  </si>
  <si>
    <t>Via Forze Armate 65 - palestra</t>
  </si>
  <si>
    <t>Via Martinetti 25 - palestra grande</t>
  </si>
  <si>
    <t>Via Martinetti 25 - palestra piccola</t>
  </si>
  <si>
    <t>Via Martinetti 25 - aula</t>
  </si>
  <si>
    <t>Via Crimea 22 - palestra</t>
  </si>
  <si>
    <t>Via Crimea 22 - aule</t>
  </si>
  <si>
    <t>Via Muggiano 14 - palestra</t>
  </si>
  <si>
    <t>Via Montebaldo - palestra</t>
  </si>
  <si>
    <t>Via Montebaldo - aule</t>
  </si>
  <si>
    <t>Sala degli Olivetani 
Via A. Da Baggio 55</t>
  </si>
  <si>
    <t>Canone azzerato</t>
  </si>
  <si>
    <t>Auditorium Olmi
Via Delle Betulle 39</t>
  </si>
  <si>
    <t>Palestra Manaresi
Via Manaresi 14</t>
  </si>
  <si>
    <t>Cam Forze Armate 318</t>
  </si>
  <si>
    <t>Parco delle Cave</t>
  </si>
  <si>
    <t>effettuati conguagli su canoni anni precedenti - adeguamento ISTAT</t>
  </si>
  <si>
    <t>Via Mosca</t>
  </si>
  <si>
    <t>via Don Gervasini</t>
  </si>
  <si>
    <t>Parco della Cava di Muggiano</t>
  </si>
  <si>
    <t>via Viterbo-Bentivoglio</t>
  </si>
  <si>
    <t>via Castrovillari 14</t>
  </si>
  <si>
    <t>via Molinetto 64</t>
  </si>
  <si>
    <t>via Viterbo 4</t>
  </si>
  <si>
    <t>Cascina Linterno
via F.lli Zoia 194</t>
  </si>
  <si>
    <t>locali c/o CAM Olmi
via delle Betulle 39</t>
  </si>
  <si>
    <r>
      <t xml:space="preserve">TOTALE GENERALE
</t>
    </r>
    <r>
      <rPr>
        <sz val="11"/>
        <color theme="1"/>
        <rFont val="Calibri"/>
        <family val="2"/>
      </rPr>
      <t>importo comprensivo di I.V.A. ai sensi di legge</t>
    </r>
  </si>
  <si>
    <t>Municipio 7</t>
  </si>
  <si>
    <t>Milano, 6 novembre 2024</t>
  </si>
  <si>
    <t>Dr.ssa  Scilla Amore</t>
  </si>
  <si>
    <t xml:space="preserve"> MUNICIPIO 6</t>
  </si>
  <si>
    <t>Scuola Primaria via Anemoni, 8 
Tariffa canone palestra</t>
  </si>
  <si>
    <t>Scuola Primaria via Anemoni, 8
 Tariffa canone aula</t>
  </si>
  <si>
    <t>Scuola Secondaria via Anemoni, 10 tariffa canone palestra</t>
  </si>
  <si>
    <t>Scuola Secondaria via Anemoni, 10 tariffa canone aula</t>
  </si>
  <si>
    <t>Scuola Primaria via dei Narcisi, 2
 Tariffa canone palestra</t>
  </si>
  <si>
    <t>Scuola Primaria via dei Narcisi, 2
 Tariffa canone aula</t>
  </si>
  <si>
    <t>Scuola Primaria via Pisa 1
 Tariffa canone palestra</t>
  </si>
  <si>
    <t>Scuola Primaria via Pisa 1
 Tariffa canone aula</t>
  </si>
  <si>
    <t>Scuola Primaria via Pisa 1
 Tariffa canone refettorio</t>
  </si>
  <si>
    <t>Scuola Primaria via Pisa 1
 Tariffa canone giardino</t>
  </si>
  <si>
    <t>Scuola Primaria via Bergognone, 2/4 tariffa canone palestra</t>
  </si>
  <si>
    <t>Scuola Primaria via Bergognone, 2/4 tariffa canone aula</t>
  </si>
  <si>
    <t>Scuola Primaria via delle Foppette, 1 tariffa canone palestra</t>
  </si>
  <si>
    <t>Scuola Primaria via delle Foppette, 1 tariffa canone aula</t>
  </si>
  <si>
    <t>Scuola Primaria via delle Foppette, 1 tariffa canone aula magna</t>
  </si>
  <si>
    <t>Scuola Primaria via delle Foppette, 1 tariffa canone giardino</t>
  </si>
  <si>
    <t>Scuola Secondaria via De Nicola, 40 tariffa canone palestra</t>
  </si>
  <si>
    <t>Scuola Secondaria via De Nicola, 40 tariffa canone aula</t>
  </si>
  <si>
    <t>Scuola Primaria via De Nicola, 2
 Tariffa canone palestra</t>
  </si>
  <si>
    <t>Scuola Primaria via De Nicola, 2 
Tariffa canone aula</t>
  </si>
  <si>
    <t>Scuola Primaria via Tosi, 21 
Tariffa canone palestra</t>
  </si>
  <si>
    <t>Scuola Primaria via Tosi, 21 tariffa canone aula</t>
  </si>
  <si>
    <t>Scuola Primaria via Pestalozzi, 13
 Tariffa canone palestra</t>
  </si>
  <si>
    <t>Scuola Primaria via Pestalozzi, 13
 Tariffa canone aula</t>
  </si>
  <si>
    <t>Scuola Secondaria via R. Carriera, 12 tariffa canone palestra</t>
  </si>
  <si>
    <t>Scuola Secondaria via R. Carriera, 12 
Tariffa canone aula</t>
  </si>
  <si>
    <t>Scuola Primaria via Vespri Siciliani 75 tariffa canone palestra</t>
  </si>
  <si>
    <t>Scuola Primaria via Vespri Siciliani 75 tariffa canone aula</t>
  </si>
  <si>
    <t>Scuola Primaria via Salerno, 3
 Tariffa canone palestra</t>
  </si>
  <si>
    <t>Scuola Primaria via Salerno, 3 
Tariffa canone aula</t>
  </si>
  <si>
    <t>Scuola Primaria via Salerno, 3 
Tariffa canone giardino</t>
  </si>
  <si>
    <t>Scuola Secondaria via Salerno, 1 
Tariffa canone palestra</t>
  </si>
  <si>
    <t>Scuola Secondaria via Salerno, 1 
Tariffa canone aula</t>
  </si>
  <si>
    <t>Scuola Secondaria via San Colombano 8 tariffa canone palestra</t>
  </si>
  <si>
    <t>Scuola Secondaria via San Colombano 8 tariffa canone aula</t>
  </si>
  <si>
    <t>Scuola Primaria via Crivelli, 3 
Tariffa canone palestra</t>
  </si>
  <si>
    <t>Scuola Primaria via Crivelli, 3 
Tariffa canone aula</t>
  </si>
  <si>
    <t>Scuola Secondaria  via Crivelli, 3 
Tariffa canone palestra</t>
  </si>
  <si>
    <t>Scuola Secondaria  via Crivelli, 3
 Tariffa canone aula</t>
  </si>
  <si>
    <t>Scuola Secondaria via Scrosati, 4
 Tariffa canone palestra</t>
  </si>
  <si>
    <t>Scuola Secondaria via Scrosati, 4 
Tariffa canone aula</t>
  </si>
  <si>
    <t>Scuola Primaria via Scrosati, 3 
Tariffa canone palestra</t>
  </si>
  <si>
    <t>Scuola Primaria via Scrosati, 3
 Tariffa canone aula</t>
  </si>
  <si>
    <t>Scuola Primaria via Vigevano, 19
 Tariffa canone palestra</t>
  </si>
  <si>
    <t>Scuola Primaria via Vigevano, 19
 Tariffa canone aula</t>
  </si>
  <si>
    <t>Scuola Secondaria via Zuara, 7
 Tariffa canone palestra</t>
  </si>
  <si>
    <t>Scuola Secondaria via Zuara, 7 
Tariffa canone aula</t>
  </si>
  <si>
    <t>Scuola Primaria via Zuara, 9
 Tariffa canone palestra</t>
  </si>
  <si>
    <t>Scuola Primaria via Zuara, 9 
Tariffa canone aula</t>
  </si>
  <si>
    <t>Scuola Primaria via Zuara, 9
 Tariffa canone giardino</t>
  </si>
  <si>
    <t>ex Fornace tariffa gratuita
Alzaia Naviglio Pavese 16 - piano T</t>
  </si>
  <si>
    <t>ex Fornace tariffa minima
Alzaia Naviglio Pavese 16 - piano T</t>
  </si>
  <si>
    <t>ex Fornace tariffa massima
Alzaia Naviglio Pavese 16 - piano T</t>
  </si>
  <si>
    <t>C.A.M.SAN PAOLINO  tariffa gratuita   via San Paolino  n. 18</t>
  </si>
  <si>
    <t>C.A.M.SAN PAOLINO  tariffa minima  via San Paolino  n. 18</t>
  </si>
  <si>
    <t>C.A.M. SAN PAOLINO tariffa massima via San Paolino n. 18</t>
  </si>
  <si>
    <t>C.A.M. Rudinì tariffa gratuita via Di Rudinì n. 14</t>
  </si>
  <si>
    <t>C.A.M. Rudinì tariffa minima via Di Rudinì n. 14</t>
  </si>
  <si>
    <t>C.A.M. Rudinì tariffa massima via Di Rudinì n. 14</t>
  </si>
  <si>
    <t>SALA CONSILIARE RENZO ORNELLA tariffa gratuita</t>
  </si>
  <si>
    <t>SALA CONSILIARE RENZO ORNELLA tariffa massima</t>
  </si>
  <si>
    <t>Seicentro Sala Arianna tariffa gratuita
Via Savona 99</t>
  </si>
  <si>
    <t>Seicentro sala Arianna tariffa minima
Via Savona 99</t>
  </si>
  <si>
    <t>Seicentro sala Arianna tariffa piena
Via Savona 99</t>
  </si>
  <si>
    <t>Seicentro sala Arianna tariffa di mercato
Via Savona 99</t>
  </si>
  <si>
    <t>Seicentro Sala Calliope  tariffa grauita
Via Savona 99</t>
  </si>
  <si>
    <t>Seicentro sala Calliope tariffa minima
Via Savona 99</t>
  </si>
  <si>
    <t>Seicentro sala Calliope tariffa piena
Via Savona 99</t>
  </si>
  <si>
    <t>Seicentro sala Calliope  tariffa di mercato
Via Savona 99</t>
  </si>
  <si>
    <t>Seicentro sala Teseo  tariffa  gratuita
Via Savona 99</t>
  </si>
  <si>
    <t>Seicentro sala Teseo  tariffa  minima
Via Savona 99</t>
  </si>
  <si>
    <t>Seicentro sala Teseo  tariffa  
piena
Via Savona 99</t>
  </si>
  <si>
    <t>Seicentro sala Teseo  tariffa di mercato
Via Savona 99</t>
  </si>
  <si>
    <t xml:space="preserve">Orti Barona - via De Finetti/via Danusso </t>
  </si>
  <si>
    <t xml:space="preserve">Orti  Fontanili - via Gozzoli/via Parri </t>
  </si>
  <si>
    <t>via Bari 18</t>
  </si>
  <si>
    <t>via Soderini 41/2</t>
  </si>
  <si>
    <t>via Parenzo 2/1</t>
  </si>
  <si>
    <t>ex casetta custode all'interno dell'ICS G. Capponi - via Tosi 21</t>
  </si>
  <si>
    <t>Centro Polifunzionale "Angelo Valdameri" TRE CASTELLI, via Martinelli n. 53 - Milano</t>
  </si>
  <si>
    <t>Spazio Santi - via Santi 8 - Milano</t>
  </si>
  <si>
    <t>scomputo per opere realizzate</t>
  </si>
  <si>
    <t>CENTRO "IPR" (Istituto Pedagogico  della Resistenza)
Via degli Anemoni n. 6 - Milano</t>
  </si>
  <si>
    <t>Casetta Odazio - via Odazio 7 - Milano</t>
  </si>
  <si>
    <t>Edicola Radetzky - Darsena, viale Gorizia - foglio 474/mapp.352 parte-</t>
  </si>
  <si>
    <t>Spazio Ex Deposito della Biblioteca di via S. Paolino 18- p. terra</t>
  </si>
  <si>
    <t>€. 1.470,00</t>
  </si>
  <si>
    <t>La casa delle artiste - Spazio Alda Merini
via Magolfa 32 (foglio 437- mapp.629, 660 e 628)</t>
  </si>
  <si>
    <t>3 strutture all'interno dell'area a verde attrezzata di via Tobagi 4</t>
  </si>
  <si>
    <t>via Faenza 29</t>
  </si>
  <si>
    <t>Alzaia Naviglio Pavese 16 - 1° piano</t>
  </si>
  <si>
    <t>Municipio 6</t>
  </si>
  <si>
    <t>Dr. Andrea Zelioli</t>
  </si>
  <si>
    <t xml:space="preserve">MUNICIPIO 1 </t>
  </si>
  <si>
    <t>Istituto Comprensivo Pascoli 
Via Ruffini, 4/6 - aula</t>
  </si>
  <si>
    <t>Istituto Comprensivo Pascoli 
Via Ruffini, 4/6 - aula 70%</t>
  </si>
  <si>
    <t>Istituto Comprensivo Pascoli 
Via Ruffini, 4/6 - palestra 200 mq</t>
  </si>
  <si>
    <t>Istituto Comprensivo Pascoli 
Via Ruffini, 4/6 - palestra 200 mq 70%</t>
  </si>
  <si>
    <t>Istituto Comprensivo Diaz 
Via Crocefisso - aula</t>
  </si>
  <si>
    <t>Istituto Comprensivo Diaz 
Via Crocefisso - aula 70%</t>
  </si>
  <si>
    <t>Istituto Comprensivo Diaz 
Via Crocefisso - palestra</t>
  </si>
  <si>
    <t>Istituto Comprensivo Diaz 
Via Crocefisso - palestra 70%</t>
  </si>
  <si>
    <t>Istituto Comprensivo Diaz 
Via Sant'Orsola, 15 - aula</t>
  </si>
  <si>
    <t>Istituto Comprensivo Diaz 
Via Sant'Orsola, 15 - aula 70%</t>
  </si>
  <si>
    <t>Istituto Comprensivo Diaz 
Via Sant'Orsola, 15 - palestra mq 185</t>
  </si>
  <si>
    <t>Istituto Comprensivo Diaz 
Via Sant'Orsola, 15 - palestra mq 185 70%</t>
  </si>
  <si>
    <t>Istituto Comprensivo Giusti-Assisi 
Via Giusti, 15 - aula</t>
  </si>
  <si>
    <t>Istituto Comprensivo Giusti-Assisi 
Via Giusti, 15 - aula 70%</t>
  </si>
  <si>
    <t xml:space="preserve">Istituto Comprensivo Giusti-Assisi 
Via Giusti, 15/A- palestra </t>
  </si>
  <si>
    <t>Istituto Comprensivo Giusti-Assisi 
Via Giusti, 15/A- palestra 70%</t>
  </si>
  <si>
    <t xml:space="preserve">Istituto Comprensivo Giusti-Assisi 
Via Giusti, 15/A- aula </t>
  </si>
  <si>
    <t>Istituto Comprensivo Giusti-Assisi 
Via Giusti, 15/A- aula 70%</t>
  </si>
  <si>
    <t>Istituto Comprensivo Giusti-Assisi 
Via Palermo, 7/9 - aula</t>
  </si>
  <si>
    <t>Istituto Comprensivo Giusti-Assisi 
Via Palermo, 7/9 - aula 70%</t>
  </si>
  <si>
    <t>Istituto Comprensivo Cavalieri 
Via Ariberto, 14 - aula</t>
  </si>
  <si>
    <t>Istituto Comprensivo Cavalieri 
Via Ariberto, 14 - aula 70%</t>
  </si>
  <si>
    <t>Istituto Comprensivo Milano-Spiga
Bastioni di Porta Nuova, 4 - aula</t>
  </si>
  <si>
    <t>Istituto Comprensivo Milano-Spiga
Bastioni di Porta Nuova, 4 - aula 70%</t>
  </si>
  <si>
    <t>Istituto Comprensivo Milano-Spiga
Bastioni di Porta Nuova, 4 - palestra 275 mq</t>
  </si>
  <si>
    <t>Istituto Comprensivo Milano-Spiga
Bastioni di Porta Nuova, 4 - palestra 275 mq 70%</t>
  </si>
  <si>
    <t>Istituto Comprensivo Commenda 
Via della Commenda, 22/a - aula</t>
  </si>
  <si>
    <t>Istituto Comprensivo Commenda 
Via della Commenda, 22/a - aula 70%</t>
  </si>
  <si>
    <t>Istituto Comprensivo Commenda 
Via della Commenda, 22/a - palestra 70%</t>
  </si>
  <si>
    <t>Istituto Comprensivo Commenda 
Via Quadronno, 32 - aula</t>
  </si>
  <si>
    <t>Istituto Comprensivo Commenda 
Via Quadronno, 32 - aula 70%</t>
  </si>
  <si>
    <t>Istituto Comprensivo Commenda 
Via Quadronno, 32 - palestra 202 mq. 70%</t>
  </si>
  <si>
    <t xml:space="preserve">Istituto Comprensivo Cuoco - Sassi                                                                                                                                                     Via Corridoni, 34/36 - palestra 169 mq. </t>
  </si>
  <si>
    <t>C.A.M. GABELLE
Via San Marco, 4</t>
  </si>
  <si>
    <t>Salone Atrio</t>
  </si>
  <si>
    <t>tariffa minima fino a 4 ore + € 0,99 per ogni ora in più + costo pulizie orarie € 6,70</t>
  </si>
  <si>
    <t>tariffa massima fino a 4 ore + € 3,70 per ogni ora in più + costo pulizie orarie € 6,70</t>
  </si>
  <si>
    <t>Sala Pianoforte</t>
  </si>
  <si>
    <t>tariffa minima fino a 4 ore + € 0,87 per ogni ora in più + costo pulizie orarie € 3,40</t>
  </si>
  <si>
    <t>tariffa massima fino a 4 ore + € 2,50 per ogni ora in più + costo pulizie orarie € 3,40</t>
  </si>
  <si>
    <t>Giocoteca</t>
  </si>
  <si>
    <t>Palestra</t>
  </si>
  <si>
    <t>C.A.M. SCALDASOLE
Via Scaldadole 3/A</t>
  </si>
  <si>
    <t>Salone</t>
  </si>
  <si>
    <t>Saletta</t>
  </si>
  <si>
    <t>C.A.M. ROMANA/
VIGENTINA
Corso di Porta Vigentina 15/A</t>
  </si>
  <si>
    <t>Sala A</t>
  </si>
  <si>
    <t>Sala B</t>
  </si>
  <si>
    <t>tariffa minima fino a 4 ore + € 1,20 per ogni ora in più + costo pulizie orarie € 10,00</t>
  </si>
  <si>
    <t>tariffa massima fino a 4 ore + € 5,00 per ogni ora in più + costo pulizie orarie € 10,00</t>
  </si>
  <si>
    <t>C.A.M. GARIBALDI
Corso Garibaldi, 27</t>
  </si>
  <si>
    <t>Ludoteca</t>
  </si>
  <si>
    <t>Salone Piano Terra</t>
  </si>
  <si>
    <t>Salone 2° piano</t>
  </si>
  <si>
    <t xml:space="preserve"> ATS Casa degli Artisti - Via T. da Cazzaniga/ C.so Garibaldi</t>
  </si>
  <si>
    <t>Effettuata rivalutazione annuale ISTAT sul canone annuo pattuito</t>
  </si>
  <si>
    <t>Yoga Sangha - C.so Porta Romana 116/B</t>
  </si>
  <si>
    <t>Cascina Nascosta - Viale Alemagna</t>
  </si>
  <si>
    <t>Mediolanum Tennis Squash Via Vincenzo Monti, 57 A/8</t>
  </si>
  <si>
    <t>Municipio 1</t>
  </si>
  <si>
    <t>Dr.ssa Vincenza Ciraolo</t>
  </si>
  <si>
    <t>Milano, 18 novembre 2024</t>
  </si>
  <si>
    <t>Per Ia Responsabile Unità Coordinamento</t>
  </si>
  <si>
    <t>MUNICIPIO 9</t>
  </si>
  <si>
    <t>tariffa oraria 
pattuita</t>
  </si>
  <si>
    <t>concessioni in uso di locali scolastici
 (per singolo plesso)</t>
  </si>
  <si>
    <t>AULA - I.C. ARBE ZARA
Scuola Primaria "Poerio" - Via Pianell n. 40</t>
  </si>
  <si>
    <t>PALESTRA - I.C. ARBE ZARA
 Scuola Primaria "Poerio" - Via Pianell n. 40</t>
  </si>
  <si>
    <t xml:space="preserve">PALESTRA - I.C. CESARE CANTÚ
Scuola Primaria "Hanna Frank" - Via Dora Baltea n. 16 </t>
  </si>
  <si>
    <t>PALESTRA - I.C. CESARE CANTÚ
Scuola Primaria - Via  Dei Braschi n. 12</t>
  </si>
  <si>
    <t>PALESTRA - I.C. CONFALONIERI
Scuola Primaria - Via dal Verme n. 10</t>
  </si>
  <si>
    <t>PALESTRA - I.C. CONFALONIERI
 Scuola Secondaria di 1° grado "Govone" - Via Pepe n. 40</t>
  </si>
  <si>
    <t>PALESTRA - I.C. CONFALONIERI                                                                                                                                                                                                                                                                                                                                      Scuola Primaria Lambruschini - Via Crespi 1</t>
  </si>
  <si>
    <t>PALESTRA - I.C. DON ORIONE
Scuola Secondaria di 1° grado "Leonardo da Vinci" - Via Sand  n. 32</t>
  </si>
  <si>
    <t>PALESTRA - I.C. DON ORIONE
 Scuola Primaria "Caracciolo" - Via Iseo n. 7</t>
  </si>
  <si>
    <t>AULA PSICOMOTRICITA' - I.C. DON ORIONE
Scuola Primaria "Caracciolo" - Via Iseo n. 7</t>
  </si>
  <si>
    <t xml:space="preserve">PALESTRA - I.C. DON ORIONE 
Scuola Primaria  "Don Orione" - Via Fabriano n. 4 </t>
  </si>
  <si>
    <t xml:space="preserve">PALESTRA - I.C. LOCATELLI/QUASIMODO   
Scuola Secondaria di 1° grado "Tommaseo" - P.le Istria n. 11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</si>
  <si>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AULA MAGNA - I.C. LOCATELLI/QUASIMODO   
Scuola Secondaria di 1° grado "Tommaseo" - P.le Istria n. 11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</si>
  <si>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PALESTRA - .C. LOCATELLI/QUASIMODO 
Scuola Secondaria di 1° grado "Tommaseo" - Via Veglia n. 80</t>
  </si>
  <si>
    <t>PALESTRA - I.C. LOCCHI
Scuola Primaria "Duca degli Abruzzi" - Via Cesari n. 38</t>
  </si>
  <si>
    <t xml:space="preserve"> AUDITORIUM TEATRO - I.C. LOCCHI 
Scuola Primaria "Duca degli Abruzzi" - Via Cesari n. 38</t>
  </si>
  <si>
    <t>PALESTRA - I.C. SANDRO PERTINI 
Scuola Secondaria "Falcone e Borsellino" -  Via T. Mann n. 8</t>
  </si>
  <si>
    <t>PALESTRA - I.C. SANDRO PERTINI 
Scuola Primaria "Pertini"   - Via T. Mann n. 8</t>
  </si>
  <si>
    <t>PALESTRA - I.C. SANDRO PERTINI
Scuola Primaria "Pirelli" - Via da Bussero n. 9</t>
  </si>
  <si>
    <t>PALESTRA - I.C. SANDRO PERTINI 
Scuola Secondaria "Verga" - Via Asturie n. 1</t>
  </si>
  <si>
    <t>PALESTRA - I.C. SCIALOIA 
Scuola Primaria "Calvino" - Via Scialoia, 19</t>
  </si>
  <si>
    <t xml:space="preserve"> PALESTRA - I.C. SCIALOIA 
Scuola Secondaria di 1° grado "Buonarroti" - Via Scialoia n. 21</t>
  </si>
  <si>
    <t>PALESTRA - I.C. SORELLE AGAZZI
Scuola Primaria "Rodari"  - Via Gabbro 6</t>
  </si>
  <si>
    <t>PALESTRA - I.C. SORELLE AGAZZI
Scuola Secondaria di 1° grado "GANDHI" Piazza Gasparri n. 6</t>
  </si>
  <si>
    <t>PALESTRA - I.C. SORELLE AGAZZI 
Scuola  Secondaria di I° "Rodari" - Via Gabbro 6/a</t>
  </si>
  <si>
    <t>AULA - I.C. SORELLE AGAZZI 
Scuola Secondaria di I grado "Rodari" 
via Gabbro 6/a</t>
  </si>
  <si>
    <t>concessioni in uso spazi multiuso</t>
  </si>
  <si>
    <t>SPAZIO PALESTRA - CAM
 Via Ciriè n. 9</t>
  </si>
  <si>
    <t>SPAZIO TEATRO - CAM
Via Ciriè n. 9</t>
  </si>
  <si>
    <t>SALA - VILLA LITTA
Viale Affori n.21</t>
  </si>
  <si>
    <t>SALONE
Via Empoli n. 9/2</t>
  </si>
  <si>
    <t>AUDITORIUM "FALCONE E BORSELLINO" CASSINA ANNA
Via Sant'Arnaldo n. 17</t>
  </si>
  <si>
    <t>ANFITEATRO - CASSINA ANNA 
Via Sant'Arnaldo n. 17</t>
  </si>
  <si>
    <t>LOCALE RUSTICO - CASSINA ANNA 
Via Sant'Arnaldo n. 17</t>
  </si>
  <si>
    <t>PALESTRINA - CASSINA ANNA 
Via Sant'Arnaldo n. 17</t>
  </si>
  <si>
    <t>AUDITORIUM "TERESA SARTI STRADA"
Viale Cà Granda n. 19</t>
  </si>
  <si>
    <t>canone annuo 
pattuito</t>
  </si>
  <si>
    <t>Cassina Anna  
Via Sant'Arnaldo n. 17</t>
  </si>
  <si>
    <t>canone singola particella annuale € 59,00</t>
  </si>
  <si>
    <t>Via Cosenz</t>
  </si>
  <si>
    <t>canone singola particella annuale € 67,00</t>
  </si>
  <si>
    <t>Via Cascina dei Prati</t>
  </si>
  <si>
    <t>canone  singola partiella annuale € 85,00</t>
  </si>
  <si>
    <t>IMPIANTO SPORTIVO
 Via G. Pasta, 43</t>
  </si>
  <si>
    <t>PROGETTO ATS CAPOFILA  A&amp;I
Viale Affori n. 21</t>
  </si>
  <si>
    <r>
      <rPr>
        <b/>
        <sz val="12"/>
        <color theme="1"/>
        <rFont val="Calibri"/>
        <family val="2"/>
        <charset val="1"/>
      </rPr>
      <t xml:space="preserve">TOTALE GENERALE
</t>
    </r>
    <r>
      <rPr>
        <sz val="11"/>
        <color theme="1"/>
        <rFont val="Aptos Narrow"/>
        <family val="2"/>
        <scheme val="minor"/>
      </rPr>
      <t>importo comprensivo di I.V.A. ai sensi di legge</t>
    </r>
  </si>
  <si>
    <t>Municipio 9</t>
  </si>
  <si>
    <t>*Dr.ssa  Giuseppina Pedata</t>
  </si>
  <si>
    <t>*Il documento è firmato digitalmente ai sensi del D.Lgs. 82/2005 s.m.i. e norme collegate e sostituisce il documento cartaceo e la firma autografa.</t>
  </si>
  <si>
    <t>Milano, 13 novembre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</si>
</sst>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4" formatCode="_-* #,##0.00\ &quot;€&quot;_-;\-* #,##0.00\ &quot;€&quot;_-;_-* &quot;-&quot;??\ &quot;€&quot;_-;_-@_-"/>
    <numFmt numFmtId="164" formatCode="0;[Red]0"/>
    <numFmt numFmtId="165" formatCode="#,##0.00&quot; €&quot;"/>
    <numFmt numFmtId="166" formatCode="&quot;€ &quot;#,##0.00"/>
    <numFmt numFmtId="167" formatCode="[$-410]dd/mm/yyyy"/>
    <numFmt numFmtId="168" formatCode="[$€-2]\ #,##0.00"/>
    <numFmt numFmtId="169" formatCode="[$€-2]\ #,##0.00;\-[$€-2]\ #,##0.00"/>
    <numFmt numFmtId="170" formatCode="&quot;€&quot;\ #,##0.00"/>
    <numFmt numFmtId="171" formatCode="#,##0.00\ &quot;€&quot;"/>
    <numFmt numFmtId="172" formatCode="[$€-2]\ #,##0.00;[Red][$€-2]\ #,##0.00"/>
    <numFmt numFmtId="173" formatCode="#,##0;[Red]#,##0"/>
    <numFmt numFmtId="174" formatCode="#,##0_ ;\-#,##0\ "/>
    <numFmt numFmtId="175" formatCode="[$€-410]\ #,##0.00;[Red]\-[$€-410]\ #,##0.00"/>
    <numFmt numFmtId="176" formatCode="_-* #,##0.00\ [$€-410]_-;\-* #,##0.00\ [$€-410]_-;_-* \-??\ [$€-410]_-;_-@_-"/>
  </numFmts>
  <fonts count="71">
    <font>
      <sz val="11"/>
      <color theme="1"/>
      <name val="Aptos Narrow"/>
      <family val="2"/>
      <scheme val="minor"/>
    </font>
    <font>
      <sz val="16"/>
      <color rgb="FF000000"/>
      <name val="Frutiger"/>
      <charset val="1"/>
    </font>
    <font>
      <b/>
      <sz val="11"/>
      <color rgb="FFFF0000"/>
      <name val="Calibri"/>
      <family val="2"/>
      <charset val="1"/>
    </font>
    <font>
      <b/>
      <sz val="14"/>
      <color rgb="FF000000"/>
      <name val="Calibri"/>
      <family val="2"/>
      <charset val="1"/>
    </font>
    <font>
      <b/>
      <sz val="14"/>
      <name val="Calibri"/>
      <family val="2"/>
      <charset val="1"/>
    </font>
    <font>
      <b/>
      <sz val="10"/>
      <color rgb="FF000000"/>
      <name val="Calibri"/>
      <family val="2"/>
      <charset val="1"/>
    </font>
    <font>
      <b/>
      <sz val="9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color rgb="FFFF0000"/>
      <name val="Calibri"/>
      <family val="2"/>
      <charset val="1"/>
    </font>
    <font>
      <sz val="10"/>
      <color rgb="FFFF0000"/>
      <name val="Calibri"/>
      <family val="2"/>
      <charset val="1"/>
    </font>
    <font>
      <sz val="10"/>
      <name val="Calibri"/>
      <family val="2"/>
      <charset val="1"/>
    </font>
    <font>
      <b/>
      <sz val="12"/>
      <color rgb="FF000000"/>
      <name val="Calibri"/>
      <family val="2"/>
      <charset val="1"/>
    </font>
    <font>
      <b/>
      <sz val="12"/>
      <name val="Calibri"/>
      <family val="2"/>
      <charset val="1"/>
    </font>
    <font>
      <sz val="12"/>
      <color rgb="FF000000"/>
      <name val="Calibri"/>
      <family val="2"/>
      <charset val="1"/>
    </font>
    <font>
      <sz val="12"/>
      <name val="Calibri"/>
      <family val="2"/>
      <charset val="1"/>
    </font>
    <font>
      <sz val="10"/>
      <color rgb="FF000000"/>
      <name val="Calibri"/>
      <family val="2"/>
    </font>
    <font>
      <sz val="10"/>
      <name val="Calibri"/>
      <family val="2"/>
    </font>
    <font>
      <sz val="11"/>
      <color rgb="FF000000"/>
      <name val="Calibri"/>
      <family val="2"/>
      <charset val="1"/>
    </font>
    <font>
      <b/>
      <i/>
      <sz val="12"/>
      <name val="Calibri"/>
      <family val="2"/>
      <charset val="1"/>
    </font>
    <font>
      <sz val="14"/>
      <color theme="1"/>
      <name val="Aptos Narrow"/>
      <family val="2"/>
      <charset val="1"/>
      <scheme val="minor"/>
    </font>
    <font>
      <b/>
      <sz val="14"/>
      <name val="Calibri"/>
      <family val="2"/>
    </font>
    <font>
      <b/>
      <sz val="13"/>
      <color rgb="FF000000"/>
      <name val="Calibri"/>
      <family val="2"/>
      <charset val="1"/>
    </font>
    <font>
      <sz val="9"/>
      <color rgb="FF000000"/>
      <name val="Calibri"/>
      <family val="2"/>
    </font>
    <font>
      <sz val="9"/>
      <name val="Calibri"/>
      <family val="2"/>
      <charset val="1"/>
    </font>
    <font>
      <sz val="10"/>
      <color rgb="FF000000"/>
      <name val="Calibri"/>
      <family val="2"/>
      <charset val="1"/>
    </font>
    <font>
      <sz val="8"/>
      <name val="Calibri"/>
      <family val="2"/>
      <charset val="1"/>
    </font>
    <font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6"/>
      <color theme="1"/>
      <name val="Frutiger"/>
    </font>
    <font>
      <b/>
      <sz val="11"/>
      <color rgb="FFFF0000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4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sz val="11"/>
      <name val="Aptos Narrow"/>
      <family val="2"/>
      <scheme val="minor"/>
    </font>
    <font>
      <sz val="10"/>
      <color rgb="FFFF0000"/>
      <name val="Aptos Narrow"/>
      <family val="2"/>
      <scheme val="minor"/>
    </font>
    <font>
      <sz val="14"/>
      <color theme="1"/>
      <name val="Aptos Narrow"/>
      <family val="2"/>
      <scheme val="minor"/>
    </font>
    <font>
      <sz val="10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  <font>
      <sz val="16"/>
      <color rgb="FF000000"/>
      <name val="Frutiger"/>
    </font>
    <font>
      <sz val="9"/>
      <color rgb="FFFF0000"/>
      <name val="Aptos Narrow"/>
      <family val="2"/>
      <scheme val="minor"/>
    </font>
    <font>
      <b/>
      <sz val="11"/>
      <name val="Aptos Narrow"/>
      <family val="2"/>
      <scheme val="minor"/>
    </font>
    <font>
      <b/>
      <sz val="10"/>
      <name val="Aptos Narrow"/>
      <family val="2"/>
      <scheme val="minor"/>
    </font>
    <font>
      <sz val="8"/>
      <name val="Aptos Narrow"/>
      <family val="2"/>
      <scheme val="minor"/>
    </font>
    <font>
      <sz val="14"/>
      <color theme="1"/>
      <name val="Calibri"/>
      <family val="2"/>
    </font>
    <font>
      <sz val="11"/>
      <color theme="1"/>
      <name val="Calibri"/>
      <family val="2"/>
    </font>
    <font>
      <sz val="10"/>
      <color theme="1"/>
      <name val="Calibri"/>
      <family val="2"/>
    </font>
    <font>
      <b/>
      <sz val="11"/>
      <color rgb="FFFF0000"/>
      <name val="Calibri"/>
      <family val="2"/>
    </font>
    <font>
      <sz val="16"/>
      <color theme="1"/>
      <name val="Calibri"/>
      <family val="2"/>
    </font>
    <font>
      <b/>
      <sz val="14"/>
      <color theme="1"/>
      <name val="Calibri"/>
      <family val="2"/>
    </font>
    <font>
      <b/>
      <sz val="11"/>
      <color theme="1"/>
      <name val="Calibri"/>
      <family val="2"/>
    </font>
    <font>
      <b/>
      <sz val="10"/>
      <color theme="1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sz val="10"/>
      <color rgb="FFFF0000"/>
      <name val="Calibri"/>
      <family val="2"/>
    </font>
    <font>
      <b/>
      <sz val="11"/>
      <color rgb="FF000000"/>
      <name val="Calibri"/>
      <family val="2"/>
    </font>
    <font>
      <sz val="11"/>
      <color rgb="FFFF0000"/>
      <name val="Calibri"/>
      <family val="2"/>
    </font>
    <font>
      <b/>
      <sz val="11"/>
      <name val="Calibri"/>
      <family val="2"/>
    </font>
    <font>
      <sz val="12"/>
      <color theme="1"/>
      <name val="Aptos Narrow"/>
      <family val="2"/>
      <scheme val="minor"/>
    </font>
    <font>
      <sz val="12"/>
      <name val="Aptos Narrow"/>
      <family val="2"/>
      <scheme val="minor"/>
    </font>
    <font>
      <b/>
      <sz val="12"/>
      <name val="Aptos Narrow"/>
      <family val="2"/>
      <scheme val="minor"/>
    </font>
    <font>
      <sz val="16"/>
      <color theme="1"/>
      <name val="Frutiger"/>
      <charset val="1"/>
    </font>
    <font>
      <b/>
      <sz val="14"/>
      <color theme="1"/>
      <name val="Calibri"/>
      <family val="2"/>
      <charset val="1"/>
    </font>
    <font>
      <b/>
      <sz val="10"/>
      <color theme="1"/>
      <name val="Calibri"/>
      <family val="2"/>
      <charset val="1"/>
    </font>
    <font>
      <b/>
      <sz val="9"/>
      <color theme="1"/>
      <name val="Calibri"/>
      <family val="2"/>
      <charset val="1"/>
    </font>
    <font>
      <b/>
      <sz val="11"/>
      <color theme="1"/>
      <name val="Calibri"/>
      <family val="2"/>
      <charset val="1"/>
    </font>
    <font>
      <b/>
      <sz val="12"/>
      <color theme="1"/>
      <name val="Calibri"/>
      <family val="2"/>
      <charset val="1"/>
    </font>
    <font>
      <sz val="12"/>
      <color theme="1"/>
      <name val="Calibri"/>
      <family val="2"/>
      <charset val="1"/>
    </font>
  </fonts>
  <fills count="14">
    <fill>
      <patternFill patternType="none"/>
    </fill>
    <fill>
      <patternFill patternType="gray125"/>
    </fill>
    <fill>
      <patternFill patternType="solid">
        <fgColor rgb="FFDAE7F6"/>
        <bgColor rgb="FFCCFFFF"/>
      </patternFill>
    </fill>
    <fill>
      <patternFill patternType="solid">
        <fgColor rgb="FFFFFFFF"/>
        <bgColor rgb="FFFFFFCC"/>
      </patternFill>
    </fill>
    <fill>
      <patternFill patternType="solid">
        <fgColor rgb="FFB9CDE5"/>
        <bgColor rgb="FFC0C0C0"/>
      </patternFill>
    </fill>
    <fill>
      <patternFill patternType="solid">
        <fgColor rgb="FFB4C7E7"/>
        <bgColor rgb="FFCCCCFF"/>
      </patternFill>
    </fill>
    <fill>
      <patternFill patternType="solid">
        <fgColor rgb="FFDAE7F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AE7F6"/>
        <bgColor rgb="FFDCE6F2"/>
      </patternFill>
    </fill>
    <fill>
      <patternFill patternType="solid">
        <fgColor theme="3" tint="0.79979857783745845"/>
        <bgColor rgb="FFC0C0C0"/>
      </patternFill>
    </fill>
    <fill>
      <patternFill patternType="solid">
        <fgColor theme="0"/>
        <bgColor rgb="FFC0C0C0"/>
      </patternFill>
    </fill>
    <fill>
      <patternFill patternType="solid">
        <fgColor theme="0"/>
        <bgColor rgb="FFFFFFCC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/>
      <bottom style="dashed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medium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8" fillId="0" borderId="0"/>
    <xf numFmtId="0" fontId="18" fillId="0" borderId="0"/>
  </cellStyleXfs>
  <cellXfs count="396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left" vertical="center" wrapText="1"/>
    </xf>
    <xf numFmtId="0" fontId="10" fillId="0" borderId="0" xfId="0" applyFont="1" applyAlignment="1">
      <alignment wrapText="1"/>
    </xf>
    <xf numFmtId="0" fontId="8" fillId="0" borderId="1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 wrapText="1"/>
    </xf>
    <xf numFmtId="166" fontId="0" fillId="0" borderId="1" xfId="0" applyNumberFormat="1" applyBorder="1" applyAlignment="1">
      <alignment horizontal="center" vertical="center" wrapText="1"/>
    </xf>
    <xf numFmtId="1" fontId="11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0" fontId="12" fillId="0" borderId="1" xfId="0" applyFont="1" applyBorder="1" applyAlignment="1">
      <alignment vertical="center" wrapText="1"/>
    </xf>
    <xf numFmtId="166" fontId="12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4" fontId="0" fillId="0" borderId="0" xfId="0" applyNumberFormat="1"/>
    <xf numFmtId="166" fontId="14" fillId="0" borderId="1" xfId="0" applyNumberFormat="1" applyFont="1" applyBorder="1" applyAlignment="1">
      <alignment horizontal="left" vertical="center" wrapText="1"/>
    </xf>
    <xf numFmtId="1" fontId="15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vertical="top" wrapText="1"/>
    </xf>
    <xf numFmtId="165" fontId="14" fillId="3" borderId="0" xfId="0" applyNumberFormat="1" applyFont="1" applyFill="1" applyAlignment="1">
      <alignment horizontal="center" vertical="center" wrapText="1"/>
    </xf>
    <xf numFmtId="166" fontId="0" fillId="3" borderId="1" xfId="0" applyNumberFormat="1" applyFill="1" applyBorder="1" applyAlignment="1">
      <alignment horizontal="center" vertical="center" wrapText="1"/>
    </xf>
    <xf numFmtId="167" fontId="0" fillId="0" borderId="0" xfId="0" applyNumberFormat="1"/>
    <xf numFmtId="168" fontId="0" fillId="0" borderId="1" xfId="0" applyNumberFormat="1" applyBorder="1" applyAlignment="1">
      <alignment horizontal="center" vertical="center" wrapText="1"/>
    </xf>
    <xf numFmtId="168" fontId="7" fillId="0" borderId="1" xfId="0" applyNumberFormat="1" applyFont="1" applyBorder="1" applyAlignment="1">
      <alignment horizontal="center" vertical="center" wrapText="1"/>
    </xf>
    <xf numFmtId="168" fontId="8" fillId="0" borderId="1" xfId="0" applyNumberFormat="1" applyFont="1" applyBorder="1" applyAlignment="1">
      <alignment horizontal="center" vertical="center"/>
    </xf>
    <xf numFmtId="168" fontId="0" fillId="0" borderId="0" xfId="0" applyNumberFormat="1" applyAlignment="1">
      <alignment horizontal="center" vertical="center"/>
    </xf>
    <xf numFmtId="168" fontId="0" fillId="0" borderId="1" xfId="0" applyNumberFormat="1" applyBorder="1" applyAlignment="1">
      <alignment horizontal="center" vertical="center"/>
    </xf>
    <xf numFmtId="168" fontId="8" fillId="0" borderId="1" xfId="0" applyNumberFormat="1" applyFont="1" applyBorder="1" applyAlignment="1">
      <alignment horizontal="center" vertical="center" wrapText="1"/>
    </xf>
    <xf numFmtId="168" fontId="12" fillId="0" borderId="1" xfId="0" applyNumberFormat="1" applyFont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/>
    </xf>
    <xf numFmtId="1" fontId="8" fillId="0" borderId="1" xfId="0" applyNumberFormat="1" applyFont="1" applyBorder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0" fontId="12" fillId="0" borderId="0" xfId="0" applyFont="1" applyAlignment="1">
      <alignment vertical="center" wrapText="1"/>
    </xf>
    <xf numFmtId="166" fontId="12" fillId="0" borderId="0" xfId="0" applyNumberFormat="1" applyFont="1" applyAlignment="1">
      <alignment horizontal="center" vertical="center" wrapText="1"/>
    </xf>
    <xf numFmtId="168" fontId="12" fillId="0" borderId="0" xfId="0" applyNumberFormat="1" applyFont="1" applyAlignment="1">
      <alignment horizontal="center" vertical="center" wrapText="1"/>
    </xf>
    <xf numFmtId="3" fontId="13" fillId="0" borderId="0" xfId="0" applyNumberFormat="1" applyFont="1" applyAlignment="1">
      <alignment horizontal="center" vertical="center" wrapText="1"/>
    </xf>
    <xf numFmtId="3" fontId="12" fillId="0" borderId="1" xfId="0" applyNumberFormat="1" applyFont="1" applyBorder="1" applyAlignment="1">
      <alignment horizontal="center" vertical="center" wrapText="1"/>
    </xf>
    <xf numFmtId="1" fontId="17" fillId="0" borderId="1" xfId="0" applyNumberFormat="1" applyFont="1" applyBorder="1" applyAlignment="1">
      <alignment horizontal="center" vertical="center" wrapText="1"/>
    </xf>
    <xf numFmtId="0" fontId="13" fillId="0" borderId="1" xfId="1" applyFont="1" applyBorder="1" applyAlignment="1">
      <alignment horizontal="center" vertical="center" wrapText="1"/>
    </xf>
    <xf numFmtId="0" fontId="12" fillId="0" borderId="1" xfId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169" fontId="21" fillId="0" borderId="1" xfId="1" applyNumberFormat="1" applyFont="1" applyBorder="1" applyAlignment="1">
      <alignment horizontal="center" vertical="center" wrapText="1"/>
    </xf>
    <xf numFmtId="164" fontId="21" fillId="0" borderId="1" xfId="0" applyNumberFormat="1" applyFont="1" applyBorder="1" applyAlignment="1">
      <alignment horizontal="center" vertical="center"/>
    </xf>
    <xf numFmtId="164" fontId="22" fillId="0" borderId="0" xfId="0" applyNumberFormat="1" applyFont="1" applyAlignment="1">
      <alignment horizontal="right"/>
    </xf>
    <xf numFmtId="0" fontId="22" fillId="0" borderId="0" xfId="0" applyFont="1" applyAlignment="1">
      <alignment horizontal="left" vertical="center" wrapText="1"/>
    </xf>
    <xf numFmtId="0" fontId="23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168" fontId="5" fillId="0" borderId="8" xfId="0" applyNumberFormat="1" applyFont="1" applyBorder="1" applyAlignment="1">
      <alignment horizontal="center" vertical="center" wrapText="1"/>
    </xf>
    <xf numFmtId="1" fontId="5" fillId="0" borderId="8" xfId="0" applyNumberFormat="1" applyFont="1" applyBorder="1" applyAlignment="1">
      <alignment horizontal="center" vertical="center" wrapText="1"/>
    </xf>
    <xf numFmtId="0" fontId="9" fillId="0" borderId="8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168" fontId="25" fillId="0" borderId="1" xfId="0" applyNumberFormat="1" applyFont="1" applyBorder="1" applyAlignment="1">
      <alignment horizontal="center" vertical="center" wrapText="1"/>
    </xf>
    <xf numFmtId="168" fontId="11" fillId="0" borderId="1" xfId="0" applyNumberFormat="1" applyFont="1" applyBorder="1" applyAlignment="1">
      <alignment horizontal="center" vertical="center" wrapText="1"/>
    </xf>
    <xf numFmtId="1" fontId="25" fillId="0" borderId="1" xfId="0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left" vertical="top" wrapText="1"/>
    </xf>
    <xf numFmtId="0" fontId="17" fillId="0" borderId="1" xfId="0" applyFont="1" applyBorder="1" applyAlignment="1">
      <alignment horizontal="center" vertical="center" wrapText="1"/>
    </xf>
    <xf numFmtId="168" fontId="17" fillId="0" borderId="1" xfId="0" applyNumberFormat="1" applyFont="1" applyBorder="1" applyAlignment="1">
      <alignment horizontal="center" vertical="center" wrapText="1"/>
    </xf>
    <xf numFmtId="1" fontId="17" fillId="0" borderId="1" xfId="0" applyNumberFormat="1" applyFont="1" applyBorder="1" applyAlignment="1">
      <alignment horizontal="center" vertical="center"/>
    </xf>
    <xf numFmtId="0" fontId="26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168" fontId="5" fillId="0" borderId="1" xfId="0" applyNumberFormat="1" applyFont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 wrapText="1"/>
    </xf>
    <xf numFmtId="166" fontId="0" fillId="0" borderId="8" xfId="0" applyNumberFormat="1" applyBorder="1" applyAlignment="1">
      <alignment horizontal="center" vertical="center" wrapText="1"/>
    </xf>
    <xf numFmtId="168" fontId="25" fillId="3" borderId="8" xfId="0" applyNumberFormat="1" applyFont="1" applyFill="1" applyBorder="1" applyAlignment="1">
      <alignment horizontal="center" vertical="center" wrapText="1"/>
    </xf>
    <xf numFmtId="168" fontId="11" fillId="3" borderId="8" xfId="2" applyNumberFormat="1" applyFont="1" applyFill="1" applyBorder="1" applyAlignment="1">
      <alignment horizontal="center" vertical="center" wrapText="1"/>
    </xf>
    <xf numFmtId="1" fontId="11" fillId="0" borderId="8" xfId="0" applyNumberFormat="1" applyFont="1" applyBorder="1" applyAlignment="1">
      <alignment horizontal="center" vertical="center" wrapText="1"/>
    </xf>
    <xf numFmtId="0" fontId="0" fillId="0" borderId="8" xfId="0" applyBorder="1"/>
    <xf numFmtId="168" fontId="25" fillId="3" borderId="1" xfId="0" applyNumberFormat="1" applyFont="1" applyFill="1" applyBorder="1" applyAlignment="1">
      <alignment horizontal="center" vertical="center" wrapText="1"/>
    </xf>
    <xf numFmtId="168" fontId="11" fillId="3" borderId="1" xfId="2" applyNumberFormat="1" applyFont="1" applyFill="1" applyBorder="1" applyAlignment="1">
      <alignment horizontal="center" vertical="center" wrapText="1"/>
    </xf>
    <xf numFmtId="168" fontId="11" fillId="0" borderId="1" xfId="2" applyNumberFormat="1" applyFont="1" applyBorder="1" applyAlignment="1">
      <alignment horizontal="center" vertical="center" wrapText="1"/>
    </xf>
    <xf numFmtId="0" fontId="0" fillId="0" borderId="8" xfId="0" applyBorder="1" applyAlignment="1">
      <alignment vertical="center" wrapText="1"/>
    </xf>
    <xf numFmtId="168" fontId="25" fillId="0" borderId="8" xfId="0" applyNumberFormat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14" fontId="0" fillId="0" borderId="0" xfId="0" applyNumberFormat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25" fillId="0" borderId="0" xfId="0" applyFont="1"/>
    <xf numFmtId="0" fontId="11" fillId="0" borderId="1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 wrapText="1"/>
    </xf>
    <xf numFmtId="168" fontId="11" fillId="0" borderId="2" xfId="2" applyNumberFormat="1" applyFont="1" applyBorder="1" applyAlignment="1">
      <alignment horizontal="center" vertical="center" wrapText="1"/>
    </xf>
    <xf numFmtId="168" fontId="11" fillId="0" borderId="8" xfId="2" applyNumberFormat="1" applyFont="1" applyBorder="1" applyAlignment="1">
      <alignment horizontal="center" vertical="center" wrapText="1"/>
    </xf>
    <xf numFmtId="1" fontId="11" fillId="0" borderId="1" xfId="2" applyNumberFormat="1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166" fontId="14" fillId="0" borderId="1" xfId="0" applyNumberFormat="1" applyFont="1" applyBorder="1" applyAlignment="1">
      <alignment horizontal="center" vertical="center" wrapText="1"/>
    </xf>
    <xf numFmtId="168" fontId="11" fillId="0" borderId="10" xfId="2" applyNumberFormat="1" applyFont="1" applyBorder="1" applyAlignment="1">
      <alignment horizontal="center" vertical="center" wrapText="1"/>
    </xf>
    <xf numFmtId="168" fontId="11" fillId="0" borderId="11" xfId="2" applyNumberFormat="1" applyFont="1" applyBorder="1" applyAlignment="1">
      <alignment horizontal="center" vertical="center" wrapText="1"/>
    </xf>
    <xf numFmtId="1" fontId="11" fillId="0" borderId="8" xfId="2" applyNumberFormat="1" applyFont="1" applyBorder="1" applyAlignment="1">
      <alignment horizontal="center" vertical="center" wrapText="1"/>
    </xf>
    <xf numFmtId="1" fontId="11" fillId="0" borderId="2" xfId="2" applyNumberFormat="1" applyFont="1" applyBorder="1" applyAlignment="1">
      <alignment horizontal="center" vertical="center" wrapText="1"/>
    </xf>
    <xf numFmtId="1" fontId="11" fillId="0" borderId="10" xfId="2" applyNumberFormat="1" applyFont="1" applyBorder="1" applyAlignment="1">
      <alignment horizontal="center" vertical="center" wrapText="1"/>
    </xf>
    <xf numFmtId="1" fontId="11" fillId="0" borderId="11" xfId="2" applyNumberFormat="1" applyFont="1" applyBorder="1" applyAlignment="1">
      <alignment horizontal="center" vertical="center" wrapText="1"/>
    </xf>
    <xf numFmtId="1" fontId="17" fillId="0" borderId="8" xfId="0" applyNumberFormat="1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29" fillId="0" borderId="0" xfId="0" applyFont="1"/>
    <xf numFmtId="0" fontId="30" fillId="0" borderId="0" xfId="0" applyFont="1" applyAlignment="1">
      <alignment horizontal="center"/>
    </xf>
    <xf numFmtId="0" fontId="33" fillId="0" borderId="1" xfId="0" applyFont="1" applyBorder="1" applyAlignment="1">
      <alignment horizontal="center" vertical="center"/>
    </xf>
    <xf numFmtId="0" fontId="33" fillId="0" borderId="1" xfId="0" applyFont="1" applyBorder="1" applyAlignment="1">
      <alignment horizontal="center" vertical="center" wrapText="1"/>
    </xf>
    <xf numFmtId="0" fontId="34" fillId="0" borderId="1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left" vertical="center" wrapText="1"/>
    </xf>
    <xf numFmtId="0" fontId="27" fillId="0" borderId="1" xfId="0" quotePrefix="1" applyFont="1" applyBorder="1" applyAlignment="1">
      <alignment vertical="center" wrapText="1"/>
    </xf>
    <xf numFmtId="0" fontId="36" fillId="0" borderId="0" xfId="0" applyFont="1" applyAlignment="1">
      <alignment wrapText="1"/>
    </xf>
    <xf numFmtId="0" fontId="28" fillId="0" borderId="1" xfId="0" applyFont="1" applyBorder="1" applyAlignment="1">
      <alignment vertical="center" wrapText="1"/>
    </xf>
    <xf numFmtId="170" fontId="0" fillId="0" borderId="1" xfId="0" applyNumberFormat="1" applyBorder="1" applyAlignment="1">
      <alignment horizontal="center" vertical="center" wrapText="1"/>
    </xf>
    <xf numFmtId="1" fontId="38" fillId="0" borderId="1" xfId="0" applyNumberFormat="1" applyFont="1" applyBorder="1" applyAlignment="1">
      <alignment horizontal="center" vertical="center" wrapText="1"/>
    </xf>
    <xf numFmtId="0" fontId="39" fillId="0" borderId="1" xfId="0" applyFont="1" applyBorder="1" applyAlignment="1">
      <alignment vertical="center" wrapText="1"/>
    </xf>
    <xf numFmtId="170" fontId="39" fillId="0" borderId="1" xfId="0" applyNumberFormat="1" applyFont="1" applyBorder="1" applyAlignment="1">
      <alignment horizontal="center" vertical="center" wrapText="1"/>
    </xf>
    <xf numFmtId="0" fontId="40" fillId="0" borderId="1" xfId="0" applyFont="1" applyBorder="1" applyAlignment="1">
      <alignment horizontal="center" vertical="center" wrapText="1"/>
    </xf>
    <xf numFmtId="170" fontId="0" fillId="7" borderId="1" xfId="0" applyNumberFormat="1" applyFill="1" applyBorder="1" applyAlignment="1">
      <alignment horizontal="center" vertical="center" wrapText="1"/>
    </xf>
    <xf numFmtId="0" fontId="41" fillId="0" borderId="1" xfId="0" applyFont="1" applyBorder="1" applyAlignment="1">
      <alignment horizontal="center" vertical="center" wrapText="1"/>
    </xf>
    <xf numFmtId="168" fontId="40" fillId="0" borderId="1" xfId="0" applyNumberFormat="1" applyFont="1" applyBorder="1" applyAlignment="1">
      <alignment horizontal="center" vertical="center" wrapText="1"/>
    </xf>
    <xf numFmtId="168" fontId="33" fillId="0" borderId="1" xfId="0" applyNumberFormat="1" applyFont="1" applyBorder="1" applyAlignment="1">
      <alignment horizontal="center" vertical="center" wrapText="1"/>
    </xf>
    <xf numFmtId="168" fontId="28" fillId="0" borderId="1" xfId="0" applyNumberFormat="1" applyFont="1" applyBorder="1" applyAlignment="1">
      <alignment horizontal="center" vertical="center" wrapText="1"/>
    </xf>
    <xf numFmtId="168" fontId="39" fillId="0" borderId="1" xfId="0" applyNumberFormat="1" applyFont="1" applyBorder="1" applyAlignment="1">
      <alignment horizontal="center" vertical="center" wrapText="1"/>
    </xf>
    <xf numFmtId="1" fontId="40" fillId="0" borderId="1" xfId="0" applyNumberFormat="1" applyFont="1" applyBorder="1" applyAlignment="1">
      <alignment horizontal="center" vertical="center" wrapText="1"/>
    </xf>
    <xf numFmtId="3" fontId="39" fillId="0" borderId="1" xfId="0" applyNumberFormat="1" applyFont="1" applyBorder="1" applyAlignment="1">
      <alignment horizontal="center" vertical="center" wrapText="1"/>
    </xf>
    <xf numFmtId="1" fontId="35" fillId="0" borderId="1" xfId="0" applyNumberFormat="1" applyFont="1" applyBorder="1" applyAlignment="1">
      <alignment horizontal="center" vertical="center" wrapText="1"/>
    </xf>
    <xf numFmtId="0" fontId="0" fillId="0" borderId="8" xfId="0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42" fillId="0" borderId="0" xfId="0" applyFont="1"/>
    <xf numFmtId="0" fontId="30" fillId="0" borderId="0" xfId="0" applyFont="1" applyAlignment="1">
      <alignment horizontal="center" vertical="center"/>
    </xf>
    <xf numFmtId="0" fontId="28" fillId="0" borderId="1" xfId="0" applyFont="1" applyBorder="1" applyAlignment="1">
      <alignment horizontal="center" vertical="center"/>
    </xf>
    <xf numFmtId="0" fontId="28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5" fillId="0" borderId="1" xfId="0" applyFont="1" applyBorder="1" applyAlignment="1">
      <alignment horizontal="center" vertical="center"/>
    </xf>
    <xf numFmtId="0" fontId="35" fillId="0" borderId="1" xfId="0" applyFont="1" applyBorder="1" applyAlignment="1">
      <alignment horizontal="center" vertical="center" wrapText="1"/>
    </xf>
    <xf numFmtId="171" fontId="0" fillId="0" borderId="0" xfId="0" applyNumberFormat="1"/>
    <xf numFmtId="0" fontId="35" fillId="0" borderId="3" xfId="0" applyFont="1" applyBorder="1" applyAlignment="1">
      <alignment horizontal="center" vertical="center" wrapText="1"/>
    </xf>
    <xf numFmtId="170" fontId="0" fillId="0" borderId="0" xfId="0" applyNumberFormat="1"/>
    <xf numFmtId="0" fontId="35" fillId="0" borderId="1" xfId="0" quotePrefix="1" applyFont="1" applyBorder="1" applyAlignment="1">
      <alignment vertical="center" wrapText="1"/>
    </xf>
    <xf numFmtId="171" fontId="0" fillId="0" borderId="0" xfId="0" applyNumberFormat="1" applyAlignment="1">
      <alignment wrapText="1"/>
    </xf>
    <xf numFmtId="170" fontId="28" fillId="0" borderId="1" xfId="0" applyNumberFormat="1" applyFont="1" applyBorder="1" applyAlignment="1">
      <alignment horizontal="center" vertical="center" wrapText="1"/>
    </xf>
    <xf numFmtId="1" fontId="44" fillId="0" borderId="1" xfId="0" applyNumberFormat="1" applyFont="1" applyBorder="1" applyAlignment="1">
      <alignment horizontal="center" vertical="center" wrapText="1"/>
    </xf>
    <xf numFmtId="0" fontId="43" fillId="0" borderId="1" xfId="0" quotePrefix="1" applyFont="1" applyBorder="1" applyAlignment="1">
      <alignment horizontal="center" vertical="center" wrapText="1"/>
    </xf>
    <xf numFmtId="1" fontId="45" fillId="0" borderId="1" xfId="0" applyNumberFormat="1" applyFont="1" applyBorder="1" applyAlignment="1">
      <alignment horizontal="center" vertical="center" wrapText="1"/>
    </xf>
    <xf numFmtId="168" fontId="35" fillId="0" borderId="1" xfId="0" applyNumberFormat="1" applyFont="1" applyBorder="1" applyAlignment="1">
      <alignment horizontal="center" vertical="center"/>
    </xf>
    <xf numFmtId="168" fontId="35" fillId="0" borderId="1" xfId="0" quotePrefix="1" applyNumberFormat="1" applyFont="1" applyBorder="1" applyAlignment="1">
      <alignment horizontal="center" vertical="center" wrapText="1"/>
    </xf>
    <xf numFmtId="168" fontId="35" fillId="0" borderId="3" xfId="0" applyNumberFormat="1" applyFont="1" applyBorder="1" applyAlignment="1">
      <alignment horizontal="center" vertical="center" wrapText="1"/>
    </xf>
    <xf numFmtId="168" fontId="28" fillId="0" borderId="1" xfId="0" applyNumberFormat="1" applyFont="1" applyBorder="1" applyAlignment="1">
      <alignment horizontal="center" vertical="center"/>
    </xf>
    <xf numFmtId="172" fontId="39" fillId="0" borderId="1" xfId="0" applyNumberFormat="1" applyFont="1" applyBorder="1" applyAlignment="1">
      <alignment horizontal="center" vertical="center" wrapText="1"/>
    </xf>
    <xf numFmtId="1" fontId="28" fillId="0" borderId="1" xfId="0" applyNumberFormat="1" applyFont="1" applyBorder="1" applyAlignment="1">
      <alignment horizontal="center" vertical="center"/>
    </xf>
    <xf numFmtId="1" fontId="35" fillId="0" borderId="1" xfId="0" applyNumberFormat="1" applyFont="1" applyBorder="1" applyAlignment="1">
      <alignment horizontal="center" vertical="center"/>
    </xf>
    <xf numFmtId="173" fontId="39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46" fillId="0" borderId="1" xfId="0" quotePrefix="1" applyFont="1" applyBorder="1" applyAlignment="1">
      <alignment vertical="center" wrapText="1"/>
    </xf>
    <xf numFmtId="170" fontId="0" fillId="0" borderId="1" xfId="0" applyNumberFormat="1" applyBorder="1" applyAlignment="1">
      <alignment horizontal="center" wrapText="1"/>
    </xf>
    <xf numFmtId="1" fontId="38" fillId="0" borderId="1" xfId="0" applyNumberFormat="1" applyFont="1" applyBorder="1" applyAlignment="1">
      <alignment horizontal="center" wrapText="1"/>
    </xf>
    <xf numFmtId="1" fontId="44" fillId="0" borderId="1" xfId="0" applyNumberFormat="1" applyFont="1" applyBorder="1" applyAlignment="1">
      <alignment horizontal="center" wrapText="1"/>
    </xf>
    <xf numFmtId="0" fontId="41" fillId="0" borderId="1" xfId="0" applyFont="1" applyBorder="1" applyAlignment="1">
      <alignment wrapText="1"/>
    </xf>
    <xf numFmtId="1" fontId="0" fillId="0" borderId="1" xfId="0" applyNumberFormat="1" applyBorder="1" applyAlignment="1">
      <alignment horizontal="center" vertical="center" wrapText="1"/>
    </xf>
    <xf numFmtId="0" fontId="47" fillId="0" borderId="0" xfId="0" applyFont="1" applyAlignment="1">
      <alignment horizontal="left" vertical="center"/>
    </xf>
    <xf numFmtId="0" fontId="48" fillId="0" borderId="0" xfId="0" applyFont="1" applyAlignment="1">
      <alignment horizontal="left" vertical="center"/>
    </xf>
    <xf numFmtId="44" fontId="48" fillId="0" borderId="0" xfId="0" applyNumberFormat="1" applyFont="1" applyAlignment="1">
      <alignment vertical="center"/>
    </xf>
    <xf numFmtId="0" fontId="48" fillId="0" borderId="0" xfId="0" applyFont="1" applyAlignment="1">
      <alignment horizontal="right" vertical="center"/>
    </xf>
    <xf numFmtId="0" fontId="49" fillId="0" borderId="0" xfId="0" applyFont="1" applyAlignment="1">
      <alignment horizontal="center" vertical="center"/>
    </xf>
    <xf numFmtId="0" fontId="48" fillId="0" borderId="0" xfId="0" applyFont="1" applyAlignment="1">
      <alignment vertical="center"/>
    </xf>
    <xf numFmtId="44" fontId="50" fillId="0" borderId="0" xfId="0" applyNumberFormat="1" applyFont="1" applyAlignment="1">
      <alignment horizontal="center" vertical="center"/>
    </xf>
    <xf numFmtId="0" fontId="51" fillId="0" borderId="0" xfId="0" applyFont="1" applyAlignment="1">
      <alignment horizontal="center" vertical="center"/>
    </xf>
    <xf numFmtId="0" fontId="53" fillId="0" borderId="1" xfId="0" applyFont="1" applyBorder="1" applyAlignment="1">
      <alignment horizontal="center" vertical="center"/>
    </xf>
    <xf numFmtId="0" fontId="53" fillId="0" borderId="1" xfId="0" applyFont="1" applyBorder="1" applyAlignment="1">
      <alignment horizontal="center" vertical="center" wrapText="1"/>
    </xf>
    <xf numFmtId="44" fontId="53" fillId="0" borderId="1" xfId="0" applyNumberFormat="1" applyFont="1" applyBorder="1" applyAlignment="1">
      <alignment horizontal="center" vertical="center" wrapText="1"/>
    </xf>
    <xf numFmtId="0" fontId="54" fillId="0" borderId="1" xfId="0" applyFont="1" applyBorder="1" applyAlignment="1">
      <alignment horizontal="center" vertical="center" wrapText="1"/>
    </xf>
    <xf numFmtId="0" fontId="55" fillId="9" borderId="1" xfId="0" applyFont="1" applyFill="1" applyBorder="1" applyAlignment="1">
      <alignment horizontal="left" vertical="center"/>
    </xf>
    <xf numFmtId="169" fontId="48" fillId="0" borderId="1" xfId="0" applyNumberFormat="1" applyFont="1" applyBorder="1" applyAlignment="1">
      <alignment horizontal="center" vertical="center" wrapText="1"/>
    </xf>
    <xf numFmtId="0" fontId="49" fillId="0" borderId="1" xfId="0" applyFont="1" applyBorder="1" applyAlignment="1">
      <alignment horizontal="center" vertical="center"/>
    </xf>
    <xf numFmtId="0" fontId="49" fillId="0" borderId="1" xfId="0" applyFont="1" applyBorder="1" applyAlignment="1">
      <alignment horizontal="center" vertical="center" wrapText="1"/>
    </xf>
    <xf numFmtId="169" fontId="56" fillId="0" borderId="1" xfId="0" applyNumberFormat="1" applyFont="1" applyBorder="1" applyAlignment="1">
      <alignment horizontal="center" vertical="center" wrapText="1"/>
    </xf>
    <xf numFmtId="0" fontId="55" fillId="0" borderId="1" xfId="0" applyFont="1" applyBorder="1" applyAlignment="1">
      <alignment horizontal="left" vertical="center"/>
    </xf>
    <xf numFmtId="0" fontId="48" fillId="9" borderId="1" xfId="0" applyFont="1" applyFill="1" applyBorder="1" applyAlignment="1">
      <alignment horizontal="left" vertical="center"/>
    </xf>
    <xf numFmtId="169" fontId="48" fillId="7" borderId="1" xfId="0" applyNumberFormat="1" applyFont="1" applyFill="1" applyBorder="1" applyAlignment="1">
      <alignment horizontal="center" vertical="center" wrapText="1"/>
    </xf>
    <xf numFmtId="0" fontId="53" fillId="0" borderId="1" xfId="0" applyFont="1" applyBorder="1" applyAlignment="1">
      <alignment horizontal="left" vertical="center" wrapText="1"/>
    </xf>
    <xf numFmtId="169" fontId="53" fillId="0" borderId="1" xfId="0" applyNumberFormat="1" applyFont="1" applyBorder="1" applyAlignment="1">
      <alignment horizontal="center" vertical="center" wrapText="1"/>
    </xf>
    <xf numFmtId="0" fontId="57" fillId="0" borderId="1" xfId="0" quotePrefix="1" applyFont="1" applyBorder="1" applyAlignment="1">
      <alignment horizontal="center" vertical="center" wrapText="1"/>
    </xf>
    <xf numFmtId="0" fontId="48" fillId="0" borderId="1" xfId="0" applyFont="1" applyBorder="1" applyAlignment="1">
      <alignment horizontal="left" vertical="center" wrapText="1"/>
    </xf>
    <xf numFmtId="0" fontId="17" fillId="0" borderId="1" xfId="0" quotePrefix="1" applyFont="1" applyBorder="1" applyAlignment="1">
      <alignment horizontal="center" vertical="center" wrapText="1"/>
    </xf>
    <xf numFmtId="169" fontId="58" fillId="0" borderId="1" xfId="0" applyNumberFormat="1" applyFont="1" applyBorder="1" applyAlignment="1">
      <alignment horizontal="center" vertical="center"/>
    </xf>
    <xf numFmtId="0" fontId="59" fillId="0" borderId="0" xfId="0" applyFont="1" applyAlignment="1">
      <alignment vertical="center" wrapText="1"/>
    </xf>
    <xf numFmtId="0" fontId="53" fillId="6" borderId="4" xfId="0" applyFont="1" applyFill="1" applyBorder="1" applyAlignment="1">
      <alignment horizontal="center" vertical="center" wrapText="1"/>
    </xf>
    <xf numFmtId="0" fontId="53" fillId="6" borderId="13" xfId="0" applyFont="1" applyFill="1" applyBorder="1" applyAlignment="1">
      <alignment horizontal="center" vertical="center" wrapText="1"/>
    </xf>
    <xf numFmtId="0" fontId="53" fillId="6" borderId="14" xfId="0" applyFont="1" applyFill="1" applyBorder="1" applyAlignment="1">
      <alignment horizontal="center" vertical="center" wrapText="1"/>
    </xf>
    <xf numFmtId="0" fontId="48" fillId="0" borderId="0" xfId="0" applyFont="1" applyAlignment="1">
      <alignment horizontal="center" vertical="center"/>
    </xf>
    <xf numFmtId="170" fontId="48" fillId="0" borderId="1" xfId="0" applyNumberFormat="1" applyFont="1" applyBorder="1" applyAlignment="1">
      <alignment horizontal="left" vertical="center" wrapText="1"/>
    </xf>
    <xf numFmtId="170" fontId="53" fillId="0" borderId="1" xfId="0" applyNumberFormat="1" applyFont="1" applyBorder="1" applyAlignment="1">
      <alignment horizontal="left" vertical="center" wrapText="1"/>
    </xf>
    <xf numFmtId="168" fontId="58" fillId="0" borderId="1" xfId="0" applyNumberFormat="1" applyFont="1" applyBorder="1" applyAlignment="1">
      <alignment horizontal="center" vertical="center" wrapText="1"/>
    </xf>
    <xf numFmtId="0" fontId="55" fillId="0" borderId="0" xfId="0" applyFont="1" applyAlignment="1">
      <alignment horizontal="left" vertical="center" wrapText="1"/>
    </xf>
    <xf numFmtId="170" fontId="48" fillId="7" borderId="1" xfId="0" applyNumberFormat="1" applyFont="1" applyFill="1" applyBorder="1" applyAlignment="1">
      <alignment horizontal="left" vertical="center" wrapText="1"/>
    </xf>
    <xf numFmtId="0" fontId="53" fillId="8" borderId="1" xfId="0" applyFont="1" applyFill="1" applyBorder="1" applyAlignment="1">
      <alignment horizontal="center" vertical="center" wrapText="1"/>
    </xf>
    <xf numFmtId="170" fontId="53" fillId="0" borderId="1" xfId="0" applyNumberFormat="1" applyFont="1" applyBorder="1" applyAlignment="1">
      <alignment horizontal="center" vertical="center" wrapText="1"/>
    </xf>
    <xf numFmtId="0" fontId="48" fillId="0" borderId="0" xfId="0" applyFont="1" applyAlignment="1">
      <alignment horizontal="center" vertical="center" wrapText="1"/>
    </xf>
    <xf numFmtId="0" fontId="48" fillId="0" borderId="0" xfId="0" applyFont="1" applyAlignment="1">
      <alignment horizontal="left" vertical="center" wrapText="1"/>
    </xf>
    <xf numFmtId="44" fontId="48" fillId="0" borderId="0" xfId="0" applyNumberFormat="1" applyFont="1" applyAlignment="1">
      <alignment horizontal="center" vertical="center" wrapText="1"/>
    </xf>
    <xf numFmtId="0" fontId="48" fillId="0" borderId="0" xfId="0" applyFont="1" applyAlignment="1">
      <alignment horizontal="right" vertical="center" wrapText="1"/>
    </xf>
    <xf numFmtId="14" fontId="56" fillId="0" borderId="0" xfId="0" applyNumberFormat="1" applyFont="1" applyAlignment="1">
      <alignment vertical="center"/>
    </xf>
    <xf numFmtId="14" fontId="48" fillId="0" borderId="0" xfId="0" applyNumberFormat="1" applyFont="1" applyAlignment="1">
      <alignment vertical="center"/>
    </xf>
    <xf numFmtId="174" fontId="53" fillId="0" borderId="1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6" fillId="0" borderId="1" xfId="0" applyFont="1" applyBorder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55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left"/>
    </xf>
    <xf numFmtId="175" fontId="0" fillId="0" borderId="0" xfId="0" applyNumberFormat="1"/>
    <xf numFmtId="176" fontId="8" fillId="0" borderId="0" xfId="0" applyNumberFormat="1" applyFont="1"/>
    <xf numFmtId="0" fontId="0" fillId="7" borderId="1" xfId="0" applyFill="1" applyBorder="1" applyAlignment="1">
      <alignment horizontal="center" vertical="center" wrapText="1"/>
    </xf>
    <xf numFmtId="1" fontId="56" fillId="7" borderId="1" xfId="0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vertical="center" wrapText="1"/>
    </xf>
    <xf numFmtId="1" fontId="55" fillId="7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0" xfId="0" applyAlignment="1" applyProtection="1">
      <alignment horizontal="left"/>
      <protection locked="0"/>
    </xf>
    <xf numFmtId="166" fontId="8" fillId="0" borderId="1" xfId="0" applyNumberFormat="1" applyFont="1" applyBorder="1" applyAlignment="1">
      <alignment horizontal="center" vertical="center" wrapText="1"/>
    </xf>
    <xf numFmtId="166" fontId="8" fillId="0" borderId="0" xfId="0" applyNumberFormat="1" applyFont="1" applyAlignment="1">
      <alignment horizontal="center" vertical="center" wrapText="1"/>
    </xf>
    <xf numFmtId="166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1" fontId="7" fillId="0" borderId="1" xfId="0" applyNumberFormat="1" applyFont="1" applyBorder="1" applyAlignment="1">
      <alignment horizontal="center" vertical="center" wrapText="1"/>
    </xf>
    <xf numFmtId="1" fontId="7" fillId="7" borderId="1" xfId="0" applyNumberFormat="1" applyFont="1" applyFill="1" applyBorder="1" applyAlignment="1">
      <alignment horizontal="center" vertical="center" wrapText="1"/>
    </xf>
    <xf numFmtId="1" fontId="55" fillId="0" borderId="1" xfId="0" applyNumberFormat="1" applyFont="1" applyBorder="1" applyAlignment="1">
      <alignment horizontal="center" vertical="center"/>
    </xf>
    <xf numFmtId="1" fontId="56" fillId="0" borderId="1" xfId="0" applyNumberFormat="1" applyFont="1" applyBorder="1" applyAlignment="1">
      <alignment horizontal="center" vertical="center"/>
    </xf>
    <xf numFmtId="3" fontId="8" fillId="0" borderId="1" xfId="0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34" fillId="7" borderId="1" xfId="0" applyFont="1" applyFill="1" applyBorder="1" applyAlignment="1">
      <alignment horizontal="center" vertical="center" wrapText="1"/>
    </xf>
    <xf numFmtId="0" fontId="0" fillId="7" borderId="0" xfId="0" applyFill="1"/>
    <xf numFmtId="0" fontId="35" fillId="7" borderId="1" xfId="0" quotePrefix="1" applyFont="1" applyFill="1" applyBorder="1" applyAlignment="1">
      <alignment vertical="center" wrapText="1"/>
    </xf>
    <xf numFmtId="1" fontId="38" fillId="7" borderId="1" xfId="0" applyNumberFormat="1" applyFont="1" applyFill="1" applyBorder="1" applyAlignment="1">
      <alignment horizontal="center" vertical="center" wrapText="1"/>
    </xf>
    <xf numFmtId="0" fontId="0" fillId="7" borderId="1" xfId="0" applyFill="1" applyBorder="1"/>
    <xf numFmtId="170" fontId="61" fillId="7" borderId="1" xfId="0" applyNumberFormat="1" applyFont="1" applyFill="1" applyBorder="1" applyAlignment="1">
      <alignment horizontal="center" vertical="center" wrapText="1"/>
    </xf>
    <xf numFmtId="1" fontId="62" fillId="7" borderId="1" xfId="0" applyNumberFormat="1" applyFont="1" applyFill="1" applyBorder="1" applyAlignment="1">
      <alignment horizontal="center" vertical="center" wrapText="1"/>
    </xf>
    <xf numFmtId="1" fontId="63" fillId="0" borderId="1" xfId="0" applyNumberFormat="1" applyFont="1" applyBorder="1" applyAlignment="1">
      <alignment horizontal="center" vertical="center" wrapText="1"/>
    </xf>
    <xf numFmtId="3" fontId="39" fillId="7" borderId="1" xfId="0" applyNumberFormat="1" applyFont="1" applyFill="1" applyBorder="1" applyAlignment="1">
      <alignment horizontal="center" vertical="center" wrapText="1"/>
    </xf>
    <xf numFmtId="168" fontId="0" fillId="7" borderId="1" xfId="0" applyNumberFormat="1" applyFill="1" applyBorder="1" applyAlignment="1">
      <alignment horizontal="center" vertical="center"/>
    </xf>
    <xf numFmtId="168" fontId="35" fillId="7" borderId="1" xfId="0" quotePrefix="1" applyNumberFormat="1" applyFont="1" applyFill="1" applyBorder="1" applyAlignment="1">
      <alignment horizontal="center" vertical="center" wrapText="1"/>
    </xf>
    <xf numFmtId="168" fontId="28" fillId="7" borderId="1" xfId="0" applyNumberFormat="1" applyFont="1" applyFill="1" applyBorder="1" applyAlignment="1">
      <alignment horizontal="center" vertical="center"/>
    </xf>
    <xf numFmtId="168" fontId="0" fillId="7" borderId="1" xfId="0" applyNumberFormat="1" applyFill="1" applyBorder="1" applyAlignment="1">
      <alignment horizontal="center" vertical="center" wrapText="1"/>
    </xf>
    <xf numFmtId="168" fontId="28" fillId="7" borderId="1" xfId="0" applyNumberFormat="1" applyFont="1" applyFill="1" applyBorder="1" applyAlignment="1">
      <alignment horizontal="center" vertical="center" wrapText="1"/>
    </xf>
    <xf numFmtId="168" fontId="39" fillId="7" borderId="1" xfId="0" applyNumberFormat="1" applyFont="1" applyFill="1" applyBorder="1" applyAlignment="1">
      <alignment horizontal="center" vertical="center" wrapText="1"/>
    </xf>
    <xf numFmtId="1" fontId="28" fillId="7" borderId="1" xfId="0" applyNumberFormat="1" applyFont="1" applyFill="1" applyBorder="1" applyAlignment="1">
      <alignment horizontal="center" vertical="center"/>
    </xf>
    <xf numFmtId="0" fontId="35" fillId="7" borderId="1" xfId="0" quotePrefix="1" applyFont="1" applyFill="1" applyBorder="1" applyAlignment="1">
      <alignment horizontal="center" vertical="center" wrapText="1"/>
    </xf>
    <xf numFmtId="168" fontId="61" fillId="0" borderId="1" xfId="0" applyNumberFormat="1" applyFont="1" applyBorder="1" applyAlignment="1">
      <alignment horizontal="center" vertical="center" wrapText="1"/>
    </xf>
    <xf numFmtId="1" fontId="62" fillId="0" borderId="1" xfId="0" applyNumberFormat="1" applyFont="1" applyBorder="1" applyAlignment="1">
      <alignment horizontal="center" vertical="center" wrapText="1"/>
    </xf>
    <xf numFmtId="0" fontId="64" fillId="0" borderId="0" xfId="0" applyFont="1"/>
    <xf numFmtId="0" fontId="66" fillId="0" borderId="1" xfId="0" applyFont="1" applyBorder="1" applyAlignment="1">
      <alignment horizontal="center" vertical="center"/>
    </xf>
    <xf numFmtId="0" fontId="66" fillId="0" borderId="1" xfId="0" applyFont="1" applyBorder="1" applyAlignment="1">
      <alignment horizontal="center" vertical="center" wrapText="1"/>
    </xf>
    <xf numFmtId="0" fontId="67" fillId="0" borderId="1" xfId="0" applyFont="1" applyBorder="1" applyAlignment="1">
      <alignment horizontal="center" vertical="center" wrapText="1"/>
    </xf>
    <xf numFmtId="0" fontId="68" fillId="0" borderId="1" xfId="0" applyFont="1" applyBorder="1" applyAlignment="1">
      <alignment horizontal="center" vertical="center"/>
    </xf>
    <xf numFmtId="0" fontId="68" fillId="7" borderId="1" xfId="0" applyFont="1" applyFill="1" applyBorder="1" applyAlignment="1">
      <alignment vertical="center" wrapText="1"/>
    </xf>
    <xf numFmtId="4" fontId="68" fillId="7" borderId="1" xfId="0" applyNumberFormat="1" applyFont="1" applyFill="1" applyBorder="1" applyAlignment="1">
      <alignment vertical="center" wrapText="1"/>
    </xf>
    <xf numFmtId="1" fontId="68" fillId="7" borderId="1" xfId="0" applyNumberFormat="1" applyFont="1" applyFill="1" applyBorder="1" applyAlignment="1">
      <alignment horizontal="center" vertical="center"/>
    </xf>
    <xf numFmtId="0" fontId="9" fillId="7" borderId="1" xfId="0" applyFont="1" applyFill="1" applyBorder="1" applyAlignment="1">
      <alignment vertical="center" wrapText="1"/>
    </xf>
    <xf numFmtId="0" fontId="69" fillId="0" borderId="1" xfId="0" applyFont="1" applyBorder="1" applyAlignment="1">
      <alignment vertical="center" wrapText="1"/>
    </xf>
    <xf numFmtId="166" fontId="69" fillId="0" borderId="1" xfId="0" applyNumberFormat="1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1" fontId="0" fillId="7" borderId="1" xfId="0" applyNumberFormat="1" applyFill="1" applyBorder="1" applyAlignment="1">
      <alignment horizontal="center" vertical="center"/>
    </xf>
    <xf numFmtId="168" fontId="68" fillId="7" borderId="1" xfId="0" applyNumberFormat="1" applyFont="1" applyFill="1" applyBorder="1" applyAlignment="1">
      <alignment horizontal="center" vertical="center"/>
    </xf>
    <xf numFmtId="168" fontId="7" fillId="7" borderId="1" xfId="0" applyNumberFormat="1" applyFont="1" applyFill="1" applyBorder="1" applyAlignment="1">
      <alignment horizontal="center" vertical="center" wrapText="1"/>
    </xf>
    <xf numFmtId="168" fontId="69" fillId="0" borderId="1" xfId="0" applyNumberFormat="1" applyFont="1" applyBorder="1" applyAlignment="1">
      <alignment horizontal="center" vertical="center" wrapText="1"/>
    </xf>
    <xf numFmtId="168" fontId="0" fillId="13" borderId="1" xfId="0" applyNumberFormat="1" applyFill="1" applyBorder="1" applyAlignment="1">
      <alignment horizontal="center" vertical="center" wrapText="1"/>
    </xf>
    <xf numFmtId="168" fontId="70" fillId="0" borderId="1" xfId="0" applyNumberFormat="1" applyFont="1" applyBorder="1" applyAlignment="1">
      <alignment horizontal="center" vertical="center" wrapText="1"/>
    </xf>
    <xf numFmtId="3" fontId="69" fillId="0" borderId="1" xfId="0" applyNumberFormat="1" applyFont="1" applyBorder="1" applyAlignment="1">
      <alignment horizontal="center" vertical="center" wrapText="1"/>
    </xf>
    <xf numFmtId="0" fontId="31" fillId="0" borderId="1" xfId="0" applyFont="1" applyBorder="1" applyAlignment="1">
      <alignment horizontal="center" vertical="center"/>
    </xf>
    <xf numFmtId="0" fontId="32" fillId="6" borderId="1" xfId="0" applyFont="1" applyFill="1" applyBorder="1" applyAlignment="1">
      <alignment horizontal="center" vertical="center"/>
    </xf>
    <xf numFmtId="0" fontId="33" fillId="0" borderId="4" xfId="0" applyFont="1" applyBorder="1" applyAlignment="1">
      <alignment horizontal="center" vertical="center" wrapText="1"/>
    </xf>
    <xf numFmtId="0" fontId="33" fillId="0" borderId="14" xfId="0" applyFont="1" applyBorder="1" applyAlignment="1">
      <alignment horizontal="center" vertical="center" wrapText="1"/>
    </xf>
    <xf numFmtId="0" fontId="61" fillId="0" borderId="2" xfId="0" applyFont="1" applyBorder="1" applyAlignment="1">
      <alignment horizontal="center" vertical="center" wrapText="1"/>
    </xf>
    <xf numFmtId="0" fontId="61" fillId="0" borderId="3" xfId="0" applyFont="1" applyBorder="1" applyAlignment="1">
      <alignment horizontal="center" vertical="center" wrapText="1"/>
    </xf>
    <xf numFmtId="0" fontId="61" fillId="0" borderId="8" xfId="0" applyFont="1" applyBorder="1" applyAlignment="1">
      <alignment horizontal="center" vertical="center" wrapText="1"/>
    </xf>
    <xf numFmtId="0" fontId="0" fillId="7" borderId="4" xfId="0" applyFill="1" applyBorder="1" applyAlignment="1">
      <alignment horizontal="center" vertical="center" wrapText="1"/>
    </xf>
    <xf numFmtId="0" fontId="0" fillId="7" borderId="14" xfId="0" applyFill="1" applyBorder="1" applyAlignment="1">
      <alignment horizontal="center" vertical="center" wrapText="1"/>
    </xf>
    <xf numFmtId="168" fontId="0" fillId="7" borderId="2" xfId="0" applyNumberFormat="1" applyFill="1" applyBorder="1" applyAlignment="1">
      <alignment horizontal="center" vertical="center"/>
    </xf>
    <xf numFmtId="168" fontId="0" fillId="7" borderId="3" xfId="0" applyNumberFormat="1" applyFill="1" applyBorder="1" applyAlignment="1">
      <alignment horizontal="center" vertical="center"/>
    </xf>
    <xf numFmtId="168" fontId="0" fillId="0" borderId="3" xfId="0" applyNumberFormat="1" applyBorder="1" applyAlignment="1">
      <alignment horizontal="center" vertical="center"/>
    </xf>
    <xf numFmtId="168" fontId="0" fillId="0" borderId="8" xfId="0" applyNumberFormat="1" applyBorder="1" applyAlignment="1">
      <alignment horizontal="center" vertical="center"/>
    </xf>
    <xf numFmtId="1" fontId="40" fillId="0" borderId="2" xfId="0" applyNumberFormat="1" applyFont="1" applyBorder="1" applyAlignment="1">
      <alignment horizontal="center" vertical="center" wrapText="1"/>
    </xf>
    <xf numFmtId="1" fontId="0" fillId="0" borderId="3" xfId="0" applyNumberFormat="1" applyBorder="1" applyAlignment="1">
      <alignment horizontal="center" vertical="center" wrapText="1"/>
    </xf>
    <xf numFmtId="1" fontId="0" fillId="0" borderId="8" xfId="0" applyNumberFormat="1" applyBorder="1" applyAlignment="1">
      <alignment horizontal="center" vertical="center" wrapText="1"/>
    </xf>
    <xf numFmtId="1" fontId="0" fillId="0" borderId="2" xfId="0" applyNumberFormat="1" applyBorder="1" applyAlignment="1">
      <alignment horizontal="center" vertical="center" wrapText="1"/>
    </xf>
    <xf numFmtId="168" fontId="0" fillId="7" borderId="8" xfId="0" applyNumberFormat="1" applyFill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 wrapText="1"/>
    </xf>
    <xf numFmtId="1" fontId="0" fillId="7" borderId="2" xfId="0" applyNumberFormat="1" applyFill="1" applyBorder="1" applyAlignment="1">
      <alignment horizontal="center" vertical="center" wrapText="1"/>
    </xf>
    <xf numFmtId="1" fontId="0" fillId="7" borderId="3" xfId="0" applyNumberFormat="1" applyFill="1" applyBorder="1" applyAlignment="1">
      <alignment horizontal="center" vertical="center" wrapText="1"/>
    </xf>
    <xf numFmtId="1" fontId="0" fillId="7" borderId="8" xfId="0" applyNumberForma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 wrapText="1"/>
    </xf>
    <xf numFmtId="168" fontId="0" fillId="7" borderId="1" xfId="0" applyNumberFormat="1" applyFill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" fontId="0" fillId="0" borderId="2" xfId="0" applyNumberFormat="1" applyBorder="1" applyAlignment="1">
      <alignment horizontal="center" vertical="center"/>
    </xf>
    <xf numFmtId="1" fontId="0" fillId="0" borderId="8" xfId="0" applyNumberFormat="1" applyBorder="1" applyAlignment="1">
      <alignment horizontal="center" vertical="center"/>
    </xf>
    <xf numFmtId="0" fontId="31" fillId="6" borderId="4" xfId="0" applyFont="1" applyFill="1" applyBorder="1" applyAlignment="1">
      <alignment horizontal="center" vertical="center" wrapText="1"/>
    </xf>
    <xf numFmtId="0" fontId="31" fillId="6" borderId="13" xfId="0" applyFont="1" applyFill="1" applyBorder="1" applyAlignment="1">
      <alignment horizontal="center" vertical="center" wrapText="1"/>
    </xf>
    <xf numFmtId="0" fontId="31" fillId="6" borderId="14" xfId="0" applyFont="1" applyFill="1" applyBorder="1" applyAlignment="1">
      <alignment horizontal="center" vertical="center" wrapText="1"/>
    </xf>
    <xf numFmtId="0" fontId="39" fillId="8" borderId="4" xfId="0" applyFont="1" applyFill="1" applyBorder="1" applyAlignment="1">
      <alignment horizontal="center" vertical="center" wrapText="1"/>
    </xf>
    <xf numFmtId="0" fontId="39" fillId="8" borderId="13" xfId="0" applyFont="1" applyFill="1" applyBorder="1" applyAlignment="1">
      <alignment horizontal="center" vertical="center" wrapText="1"/>
    </xf>
    <xf numFmtId="0" fontId="39" fillId="8" borderId="14" xfId="0" applyFont="1" applyFill="1" applyBorder="1" applyAlignment="1">
      <alignment horizontal="center" vertical="center" wrapText="1"/>
    </xf>
    <xf numFmtId="0" fontId="0" fillId="0" borderId="0" xfId="0"/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9" fillId="8" borderId="1" xfId="0" applyFont="1" applyFill="1" applyBorder="1" applyAlignment="1">
      <alignment horizontal="center" vertical="center" wrapText="1"/>
    </xf>
    <xf numFmtId="0" fontId="31" fillId="6" borderId="1" xfId="0" applyFont="1" applyFill="1" applyBorder="1" applyAlignment="1">
      <alignment horizontal="center" vertical="center" wrapText="1"/>
    </xf>
    <xf numFmtId="0" fontId="37" fillId="6" borderId="1" xfId="0" applyFont="1" applyFill="1" applyBorder="1"/>
    <xf numFmtId="0" fontId="0" fillId="0" borderId="4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168" fontId="0" fillId="0" borderId="7" xfId="0" applyNumberFormat="1" applyBorder="1" applyAlignment="1">
      <alignment horizontal="center" vertical="center"/>
    </xf>
    <xf numFmtId="168" fontId="0" fillId="0" borderId="6" xfId="0" applyNumberFormat="1" applyBorder="1" applyAlignment="1">
      <alignment horizontal="center" vertical="center"/>
    </xf>
    <xf numFmtId="0" fontId="11" fillId="0" borderId="7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168" fontId="11" fillId="0" borderId="7" xfId="2" applyNumberFormat="1" applyFont="1" applyBorder="1" applyAlignment="1">
      <alignment horizontal="center" vertical="center" wrapText="1"/>
    </xf>
    <xf numFmtId="168" fontId="11" fillId="0" borderId="6" xfId="2" applyNumberFormat="1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168" fontId="11" fillId="0" borderId="5" xfId="2" applyNumberFormat="1" applyFont="1" applyBorder="1" applyAlignment="1">
      <alignment horizontal="center" vertical="center" wrapText="1"/>
    </xf>
    <xf numFmtId="0" fontId="11" fillId="3" borderId="7" xfId="0" applyFont="1" applyFill="1" applyBorder="1" applyAlignment="1">
      <alignment horizontal="center" vertical="center" wrapText="1"/>
    </xf>
    <xf numFmtId="0" fontId="11" fillId="3" borderId="6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168" fontId="11" fillId="0" borderId="2" xfId="2" applyNumberFormat="1" applyFont="1" applyBorder="1" applyAlignment="1">
      <alignment horizontal="center" vertical="center" wrapText="1"/>
    </xf>
    <xf numFmtId="168" fontId="11" fillId="0" borderId="8" xfId="2" applyNumberFormat="1" applyFont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168" fontId="11" fillId="0" borderId="9" xfId="2" applyNumberFormat="1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168" fontId="11" fillId="0" borderId="12" xfId="2" applyNumberFormat="1" applyFont="1" applyBorder="1" applyAlignment="1">
      <alignment horizontal="center" vertical="center" wrapText="1"/>
    </xf>
    <xf numFmtId="0" fontId="0" fillId="0" borderId="0" xfId="0" applyAlignment="1" applyProtection="1">
      <alignment horizontal="left"/>
      <protection locked="0"/>
    </xf>
    <xf numFmtId="0" fontId="0" fillId="7" borderId="1" xfId="0" applyFill="1" applyBorder="1" applyAlignment="1">
      <alignment horizontal="left" vertical="center" wrapText="1"/>
    </xf>
    <xf numFmtId="0" fontId="55" fillId="0" borderId="1" xfId="0" applyFont="1" applyBorder="1" applyAlignment="1">
      <alignment horizontal="left" vertical="center" wrapText="1"/>
    </xf>
    <xf numFmtId="0" fontId="3" fillId="10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4" fillId="10" borderId="1" xfId="0" applyFont="1" applyFill="1" applyBorder="1" applyAlignment="1">
      <alignment horizontal="center" vertical="center"/>
    </xf>
    <xf numFmtId="0" fontId="55" fillId="0" borderId="2" xfId="0" applyFont="1" applyBorder="1" applyAlignment="1">
      <alignment horizontal="center" vertical="center" wrapText="1"/>
    </xf>
    <xf numFmtId="0" fontId="55" fillId="0" borderId="1" xfId="0" applyFont="1" applyBorder="1" applyAlignment="1">
      <alignment horizontal="center" vertical="center" wrapText="1"/>
    </xf>
    <xf numFmtId="0" fontId="55" fillId="9" borderId="2" xfId="0" applyFont="1" applyFill="1" applyBorder="1" applyAlignment="1">
      <alignment horizontal="left" vertical="center"/>
    </xf>
    <xf numFmtId="0" fontId="55" fillId="9" borderId="8" xfId="0" applyFont="1" applyFill="1" applyBorder="1" applyAlignment="1">
      <alignment horizontal="left" vertical="center"/>
    </xf>
    <xf numFmtId="0" fontId="52" fillId="0" borderId="1" xfId="0" applyFont="1" applyBorder="1" applyAlignment="1">
      <alignment horizontal="center" vertical="center"/>
    </xf>
    <xf numFmtId="0" fontId="21" fillId="6" borderId="1" xfId="0" applyFont="1" applyFill="1" applyBorder="1" applyAlignment="1">
      <alignment horizontal="center" vertical="center"/>
    </xf>
    <xf numFmtId="0" fontId="48" fillId="0" borderId="2" xfId="0" applyFont="1" applyBorder="1" applyAlignment="1">
      <alignment horizontal="center" vertical="center" wrapText="1"/>
    </xf>
    <xf numFmtId="0" fontId="48" fillId="0" borderId="3" xfId="0" applyFont="1" applyBorder="1" applyAlignment="1">
      <alignment horizontal="center" vertical="center" wrapText="1"/>
    </xf>
    <xf numFmtId="0" fontId="48" fillId="0" borderId="8" xfId="0" applyFont="1" applyBorder="1" applyAlignment="1">
      <alignment horizontal="center" vertical="center" wrapText="1"/>
    </xf>
    <xf numFmtId="0" fontId="55" fillId="9" borderId="3" xfId="0" applyFont="1" applyFill="1" applyBorder="1" applyAlignment="1">
      <alignment horizontal="left" vertical="center"/>
    </xf>
    <xf numFmtId="0" fontId="55" fillId="0" borderId="2" xfId="0" applyFont="1" applyBorder="1" applyAlignment="1">
      <alignment horizontal="left" vertical="center"/>
    </xf>
    <xf numFmtId="0" fontId="55" fillId="0" borderId="8" xfId="0" applyFont="1" applyBorder="1" applyAlignment="1">
      <alignment horizontal="left" vertical="center"/>
    </xf>
    <xf numFmtId="0" fontId="48" fillId="9" borderId="2" xfId="0" applyFont="1" applyFill="1" applyBorder="1" applyAlignment="1">
      <alignment horizontal="left" vertical="center"/>
    </xf>
    <xf numFmtId="0" fontId="48" fillId="9" borderId="8" xfId="0" applyFont="1" applyFill="1" applyBorder="1" applyAlignment="1">
      <alignment horizontal="left" vertical="center"/>
    </xf>
    <xf numFmtId="0" fontId="55" fillId="0" borderId="3" xfId="0" applyFont="1" applyBorder="1" applyAlignment="1">
      <alignment horizontal="left" vertical="center"/>
    </xf>
    <xf numFmtId="0" fontId="48" fillId="0" borderId="2" xfId="0" applyFont="1" applyBorder="1" applyAlignment="1">
      <alignment horizontal="left" vertical="center" wrapText="1"/>
    </xf>
    <xf numFmtId="0" fontId="48" fillId="0" borderId="3" xfId="0" applyFont="1" applyBorder="1" applyAlignment="1">
      <alignment horizontal="left" vertical="center" wrapText="1"/>
    </xf>
    <xf numFmtId="0" fontId="48" fillId="0" borderId="8" xfId="0" applyFont="1" applyBorder="1" applyAlignment="1">
      <alignment horizontal="left" vertical="center" wrapText="1"/>
    </xf>
    <xf numFmtId="0" fontId="48" fillId="0" borderId="2" xfId="0" applyFont="1" applyBorder="1" applyAlignment="1">
      <alignment horizontal="center" vertical="center"/>
    </xf>
    <xf numFmtId="0" fontId="48" fillId="0" borderId="3" xfId="0" applyFont="1" applyBorder="1" applyAlignment="1">
      <alignment horizontal="center" vertical="center"/>
    </xf>
    <xf numFmtId="0" fontId="48" fillId="0" borderId="8" xfId="0" applyFont="1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65" fillId="0" borderId="1" xfId="0" applyFont="1" applyBorder="1" applyAlignment="1">
      <alignment horizontal="center" vertical="center"/>
    </xf>
    <xf numFmtId="0" fontId="4" fillId="11" borderId="1" xfId="0" applyFont="1" applyFill="1" applyBorder="1" applyAlignment="1">
      <alignment horizontal="center" vertical="center"/>
    </xf>
    <xf numFmtId="168" fontId="0" fillId="0" borderId="2" xfId="0" applyNumberFormat="1" applyBorder="1" applyAlignment="1">
      <alignment horizontal="center" vertical="center" wrapText="1"/>
    </xf>
    <xf numFmtId="168" fontId="0" fillId="0" borderId="8" xfId="0" applyNumberFormat="1" applyBorder="1" applyAlignment="1">
      <alignment horizontal="center" vertical="center" wrapText="1"/>
    </xf>
    <xf numFmtId="168" fontId="0" fillId="0" borderId="3" xfId="0" applyNumberFormat="1" applyBorder="1" applyAlignment="1">
      <alignment horizontal="center" vertical="center" wrapText="1"/>
    </xf>
    <xf numFmtId="0" fontId="48" fillId="0" borderId="1" xfId="0" applyFont="1" applyBorder="1" applyAlignment="1">
      <alignment horizontal="center" vertical="center" wrapText="1"/>
    </xf>
    <xf numFmtId="0" fontId="65" fillId="12" borderId="4" xfId="0" applyFont="1" applyFill="1" applyBorder="1" applyAlignment="1">
      <alignment horizontal="center" vertical="center" wrapText="1"/>
    </xf>
    <xf numFmtId="0" fontId="65" fillId="12" borderId="13" xfId="0" applyFont="1" applyFill="1" applyBorder="1" applyAlignment="1">
      <alignment horizontal="center" vertical="center" wrapText="1"/>
    </xf>
    <xf numFmtId="0" fontId="65" fillId="12" borderId="14" xfId="0" applyFont="1" applyFill="1" applyBorder="1" applyAlignment="1">
      <alignment horizontal="center" vertical="center" wrapText="1"/>
    </xf>
    <xf numFmtId="0" fontId="69" fillId="11" borderId="4" xfId="0" applyFont="1" applyFill="1" applyBorder="1" applyAlignment="1">
      <alignment horizontal="center" vertical="center" wrapText="1"/>
    </xf>
    <xf numFmtId="0" fontId="69" fillId="11" borderId="13" xfId="0" applyFont="1" applyFill="1" applyBorder="1" applyAlignment="1">
      <alignment horizontal="center" vertical="center" wrapText="1"/>
    </xf>
    <xf numFmtId="0" fontId="69" fillId="11" borderId="14" xfId="0" applyFont="1" applyFill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1" fontId="33" fillId="0" borderId="1" xfId="0" applyNumberFormat="1" applyFont="1" applyBorder="1" applyAlignment="1">
      <alignment horizontal="center" vertical="center" wrapText="1"/>
    </xf>
    <xf numFmtId="1" fontId="28" fillId="0" borderId="1" xfId="0" applyNumberFormat="1" applyFont="1" applyBorder="1" applyAlignment="1">
      <alignment horizontal="center" vertical="center" wrapText="1"/>
    </xf>
    <xf numFmtId="168" fontId="48" fillId="0" borderId="1" xfId="0" applyNumberFormat="1" applyFont="1" applyBorder="1" applyAlignment="1">
      <alignment horizontal="center" vertical="center" wrapText="1"/>
    </xf>
    <xf numFmtId="168" fontId="56" fillId="0" borderId="1" xfId="0" applyNumberFormat="1" applyFont="1" applyBorder="1" applyAlignment="1">
      <alignment horizontal="center" vertical="center" wrapText="1"/>
    </xf>
    <xf numFmtId="168" fontId="53" fillId="0" borderId="1" xfId="0" applyNumberFormat="1" applyFont="1" applyBorder="1" applyAlignment="1">
      <alignment horizontal="center" vertical="center" wrapText="1"/>
    </xf>
    <xf numFmtId="1" fontId="48" fillId="0" borderId="1" xfId="0" applyNumberFormat="1" applyFont="1" applyBorder="1" applyAlignment="1">
      <alignment horizontal="center" vertical="center" wrapText="1"/>
    </xf>
    <xf numFmtId="1" fontId="56" fillId="0" borderId="1" xfId="0" applyNumberFormat="1" applyFont="1" applyBorder="1" applyAlignment="1">
      <alignment horizontal="center" vertical="center" wrapText="1"/>
    </xf>
    <xf numFmtId="1" fontId="48" fillId="7" borderId="1" xfId="0" applyNumberFormat="1" applyFont="1" applyFill="1" applyBorder="1" applyAlignment="1">
      <alignment horizontal="center" vertical="center" wrapText="1"/>
    </xf>
    <xf numFmtId="1" fontId="53" fillId="0" borderId="1" xfId="0" applyNumberFormat="1" applyFont="1" applyBorder="1" applyAlignment="1">
      <alignment horizontal="center" vertical="center" wrapText="1"/>
    </xf>
    <xf numFmtId="1" fontId="58" fillId="0" borderId="1" xfId="0" applyNumberFormat="1" applyFont="1" applyBorder="1" applyAlignment="1">
      <alignment horizontal="center" vertical="center"/>
    </xf>
    <xf numFmtId="1" fontId="58" fillId="0" borderId="1" xfId="0" applyNumberFormat="1" applyFont="1" applyBorder="1" applyAlignment="1">
      <alignment horizontal="center" vertical="center" wrapText="1"/>
    </xf>
    <xf numFmtId="1" fontId="55" fillId="0" borderId="1" xfId="0" applyNumberFormat="1" applyFont="1" applyBorder="1" applyAlignment="1">
      <alignment horizontal="center" vertical="center" wrapText="1"/>
    </xf>
    <xf numFmtId="1" fontId="60" fillId="0" borderId="1" xfId="0" applyNumberFormat="1" applyFont="1" applyBorder="1" applyAlignment="1">
      <alignment horizontal="center" vertical="center" wrapText="1"/>
    </xf>
  </cellXfs>
  <cellStyles count="3">
    <cellStyle name="Normale" xfId="0" builtinId="0"/>
    <cellStyle name="Normale 2" xfId="1" xr:uid="{E3B1AAC6-E168-429E-9803-26A8DF5C74B8}"/>
    <cellStyle name="Normale 3" xfId="2" xr:uid="{2D6E0475-7D6B-46B8-8C83-FF34CEFC5BD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40DA71-F7E3-4AD0-BAD0-89EF8E6823D6}">
  <dimension ref="A1:AW94"/>
  <sheetViews>
    <sheetView topLeftCell="A75" workbookViewId="0">
      <selection activeCell="G82" sqref="G82"/>
    </sheetView>
  </sheetViews>
  <sheetFormatPr defaultColWidth="9.109375" defaultRowHeight="14.4"/>
  <cols>
    <col min="1" max="1" width="3.44140625" customWidth="1"/>
    <col min="2" max="2" width="38.88671875" customWidth="1"/>
    <col min="3" max="3" width="49.33203125" customWidth="1"/>
    <col min="4" max="4" width="11.109375" customWidth="1"/>
    <col min="5" max="5" width="15.88671875" customWidth="1"/>
    <col min="6" max="6" width="14.33203125" customWidth="1"/>
    <col min="7" max="7" width="15.33203125" customWidth="1"/>
    <col min="8" max="8" width="50.88671875" customWidth="1"/>
  </cols>
  <sheetData>
    <row r="1" spans="2:11" ht="30" customHeight="1">
      <c r="B1" s="106" t="s">
        <v>0</v>
      </c>
    </row>
    <row r="2" spans="2:11" ht="25.5" customHeight="1">
      <c r="B2" s="106" t="s">
        <v>1</v>
      </c>
      <c r="E2" s="107"/>
      <c r="F2" s="107"/>
    </row>
    <row r="3" spans="2:11" ht="12.75" customHeight="1">
      <c r="B3" s="106"/>
      <c r="E3" s="107"/>
      <c r="F3" s="107"/>
    </row>
    <row r="4" spans="2:11" ht="32.25" customHeight="1">
      <c r="B4" s="269" t="s">
        <v>300</v>
      </c>
      <c r="C4" s="269"/>
      <c r="D4" s="269"/>
      <c r="E4" s="269"/>
      <c r="F4" s="269"/>
      <c r="G4" s="269"/>
      <c r="H4" s="269"/>
    </row>
    <row r="5" spans="2:11" ht="31.5" customHeight="1">
      <c r="B5" s="269" t="s">
        <v>471</v>
      </c>
      <c r="C5" s="269"/>
      <c r="D5" s="269"/>
      <c r="E5" s="269"/>
      <c r="F5" s="269"/>
      <c r="G5" s="269"/>
      <c r="H5" s="269"/>
    </row>
    <row r="6" spans="2:11" ht="26.25" customHeight="1">
      <c r="B6" s="270" t="s">
        <v>4</v>
      </c>
      <c r="C6" s="270"/>
      <c r="D6" s="270"/>
      <c r="E6" s="270"/>
      <c r="F6" s="270"/>
      <c r="G6" s="270"/>
      <c r="H6" s="270"/>
    </row>
    <row r="7" spans="2:11" ht="73.5" customHeight="1">
      <c r="B7" s="108" t="s">
        <v>5</v>
      </c>
      <c r="C7" s="271" t="s">
        <v>88</v>
      </c>
      <c r="D7" s="272"/>
      <c r="E7" s="109" t="s">
        <v>6</v>
      </c>
      <c r="F7" s="109" t="s">
        <v>7</v>
      </c>
      <c r="G7" s="109" t="s">
        <v>8</v>
      </c>
      <c r="H7" s="110" t="s">
        <v>9</v>
      </c>
    </row>
    <row r="8" spans="2:11" ht="36.75" customHeight="1">
      <c r="B8" s="273" t="s">
        <v>10</v>
      </c>
      <c r="C8" s="276" t="s">
        <v>472</v>
      </c>
      <c r="D8" s="277"/>
      <c r="E8" s="278">
        <v>2367.34</v>
      </c>
      <c r="F8" s="240">
        <v>6.24</v>
      </c>
      <c r="G8" s="282">
        <v>4</v>
      </c>
      <c r="H8" s="110"/>
      <c r="K8" s="138"/>
    </row>
    <row r="9" spans="2:11" ht="36.75" customHeight="1">
      <c r="B9" s="274"/>
      <c r="C9" s="276" t="s">
        <v>473</v>
      </c>
      <c r="D9" s="277"/>
      <c r="E9" s="279"/>
      <c r="F9" s="240">
        <v>1.87</v>
      </c>
      <c r="G9" s="283"/>
      <c r="H9" s="110"/>
    </row>
    <row r="10" spans="2:11" ht="36.75" customHeight="1">
      <c r="B10" s="274"/>
      <c r="C10" s="276" t="s">
        <v>474</v>
      </c>
      <c r="D10" s="277"/>
      <c r="E10" s="280"/>
      <c r="F10" s="240">
        <v>9.09</v>
      </c>
      <c r="G10" s="283"/>
      <c r="H10" s="110"/>
    </row>
    <row r="11" spans="2:11" ht="36.75" customHeight="1">
      <c r="B11" s="274"/>
      <c r="C11" s="276" t="s">
        <v>475</v>
      </c>
      <c r="D11" s="277"/>
      <c r="E11" s="281"/>
      <c r="F11" s="240">
        <v>2.73</v>
      </c>
      <c r="G11" s="284"/>
      <c r="H11" s="110"/>
    </row>
    <row r="12" spans="2:11" ht="36.75" customHeight="1">
      <c r="B12" s="274"/>
      <c r="C12" s="276" t="s">
        <v>476</v>
      </c>
      <c r="D12" s="277"/>
      <c r="E12" s="278">
        <v>1452.73</v>
      </c>
      <c r="F12" s="240">
        <v>6.24</v>
      </c>
      <c r="G12" s="285">
        <v>1</v>
      </c>
      <c r="H12" s="110"/>
    </row>
    <row r="13" spans="2:11" ht="36.75" customHeight="1">
      <c r="B13" s="274"/>
      <c r="C13" s="276" t="s">
        <v>477</v>
      </c>
      <c r="D13" s="277"/>
      <c r="E13" s="279"/>
      <c r="F13" s="240">
        <v>1.87</v>
      </c>
      <c r="G13" s="283"/>
      <c r="H13" s="110"/>
    </row>
    <row r="14" spans="2:11" ht="36.75" customHeight="1">
      <c r="B14" s="274"/>
      <c r="C14" s="276" t="s">
        <v>478</v>
      </c>
      <c r="D14" s="277"/>
      <c r="E14" s="280"/>
      <c r="F14" s="240">
        <v>9.09</v>
      </c>
      <c r="G14" s="283"/>
      <c r="H14" s="110"/>
    </row>
    <row r="15" spans="2:11" ht="36.75" customHeight="1">
      <c r="B15" s="274"/>
      <c r="C15" s="276" t="s">
        <v>479</v>
      </c>
      <c r="D15" s="277"/>
      <c r="E15" s="281"/>
      <c r="F15" s="240">
        <v>2.73</v>
      </c>
      <c r="G15" s="284"/>
      <c r="H15" s="110"/>
    </row>
    <row r="16" spans="2:11" ht="36.75" customHeight="1">
      <c r="B16" s="274"/>
      <c r="C16" s="276" t="s">
        <v>480</v>
      </c>
      <c r="D16" s="277"/>
      <c r="E16" s="278">
        <v>1233.25</v>
      </c>
      <c r="F16" s="240">
        <v>6.24</v>
      </c>
      <c r="G16" s="285">
        <v>2</v>
      </c>
      <c r="H16" s="110"/>
    </row>
    <row r="17" spans="2:8" ht="36.75" customHeight="1">
      <c r="B17" s="274"/>
      <c r="C17" s="276" t="s">
        <v>481</v>
      </c>
      <c r="D17" s="277"/>
      <c r="E17" s="279"/>
      <c r="F17" s="240">
        <v>1.87</v>
      </c>
      <c r="G17" s="283"/>
      <c r="H17" s="110"/>
    </row>
    <row r="18" spans="2:8" ht="36.75" customHeight="1">
      <c r="B18" s="274"/>
      <c r="C18" s="276" t="s">
        <v>482</v>
      </c>
      <c r="D18" s="277"/>
      <c r="E18" s="280"/>
      <c r="F18" s="240">
        <v>9.09</v>
      </c>
      <c r="G18" s="283"/>
      <c r="H18" s="110"/>
    </row>
    <row r="19" spans="2:8" ht="36.75" customHeight="1">
      <c r="B19" s="274"/>
      <c r="C19" s="276" t="s">
        <v>483</v>
      </c>
      <c r="D19" s="277"/>
      <c r="E19" s="280"/>
      <c r="F19" s="240">
        <v>2.73</v>
      </c>
      <c r="G19" s="283"/>
      <c r="H19" s="110"/>
    </row>
    <row r="20" spans="2:8" ht="36.75" customHeight="1">
      <c r="B20" s="274"/>
      <c r="C20" s="276" t="s">
        <v>482</v>
      </c>
      <c r="D20" s="277"/>
      <c r="E20" s="280"/>
      <c r="F20" s="240">
        <v>15.91</v>
      </c>
      <c r="G20" s="283"/>
      <c r="H20" s="110"/>
    </row>
    <row r="21" spans="2:8" ht="36.75" customHeight="1">
      <c r="B21" s="274"/>
      <c r="C21" s="276" t="s">
        <v>483</v>
      </c>
      <c r="D21" s="277"/>
      <c r="E21" s="281"/>
      <c r="F21" s="240">
        <v>4.7699999999999996</v>
      </c>
      <c r="G21" s="284"/>
      <c r="H21" s="110"/>
    </row>
    <row r="22" spans="2:8" ht="36.75" customHeight="1">
      <c r="B22" s="274"/>
      <c r="C22" s="276" t="s">
        <v>484</v>
      </c>
      <c r="D22" s="277"/>
      <c r="E22" s="278">
        <v>369.98</v>
      </c>
      <c r="F22" s="240">
        <v>6.24</v>
      </c>
      <c r="G22" s="282">
        <v>2</v>
      </c>
      <c r="H22" s="110"/>
    </row>
    <row r="23" spans="2:8" ht="36.75" customHeight="1">
      <c r="B23" s="274"/>
      <c r="C23" s="276" t="s">
        <v>485</v>
      </c>
      <c r="D23" s="277"/>
      <c r="E23" s="286"/>
      <c r="F23" s="240">
        <v>1.87</v>
      </c>
      <c r="G23" s="283"/>
      <c r="H23" s="110"/>
    </row>
    <row r="24" spans="2:8" ht="36.75" customHeight="1">
      <c r="B24" s="274"/>
      <c r="C24" s="276" t="s">
        <v>486</v>
      </c>
      <c r="D24" s="277"/>
      <c r="E24" s="278">
        <v>537.29</v>
      </c>
      <c r="F24" s="240">
        <v>15.91</v>
      </c>
      <c r="G24" s="287">
        <v>1</v>
      </c>
      <c r="H24" s="110"/>
    </row>
    <row r="25" spans="2:8" ht="36.75" customHeight="1">
      <c r="B25" s="274"/>
      <c r="C25" s="276" t="s">
        <v>487</v>
      </c>
      <c r="D25" s="277"/>
      <c r="E25" s="279"/>
      <c r="F25" s="240">
        <v>4.7699999999999996</v>
      </c>
      <c r="G25" s="287"/>
      <c r="H25" s="110"/>
    </row>
    <row r="26" spans="2:8" ht="36.75" customHeight="1">
      <c r="B26" s="274"/>
      <c r="C26" s="276" t="s">
        <v>488</v>
      </c>
      <c r="D26" s="277"/>
      <c r="E26" s="279"/>
      <c r="F26" s="240">
        <v>6.24</v>
      </c>
      <c r="G26" s="287"/>
      <c r="H26" s="110"/>
    </row>
    <row r="27" spans="2:8" ht="36.75" customHeight="1">
      <c r="B27" s="274"/>
      <c r="C27" s="276" t="s">
        <v>489</v>
      </c>
      <c r="D27" s="277"/>
      <c r="E27" s="286"/>
      <c r="F27" s="240">
        <v>1.88</v>
      </c>
      <c r="G27" s="287"/>
      <c r="H27" s="110"/>
    </row>
    <row r="28" spans="2:8" ht="36.75" customHeight="1">
      <c r="B28" s="274"/>
      <c r="C28" s="276" t="s">
        <v>490</v>
      </c>
      <c r="D28" s="277"/>
      <c r="E28" s="278">
        <v>58.96</v>
      </c>
      <c r="F28" s="240">
        <v>6.24</v>
      </c>
      <c r="G28" s="282">
        <v>1</v>
      </c>
      <c r="H28" s="110"/>
    </row>
    <row r="29" spans="2:8" ht="36.75" customHeight="1">
      <c r="B29" s="274"/>
      <c r="C29" s="276" t="s">
        <v>491</v>
      </c>
      <c r="D29" s="277"/>
      <c r="E29" s="279"/>
      <c r="F29" s="240">
        <v>1.87</v>
      </c>
      <c r="G29" s="283"/>
      <c r="H29" s="110"/>
    </row>
    <row r="30" spans="2:8" ht="36.75" customHeight="1">
      <c r="B30" s="274"/>
      <c r="C30" s="276" t="s">
        <v>492</v>
      </c>
      <c r="D30" s="277"/>
      <c r="E30" s="278">
        <v>91.39</v>
      </c>
      <c r="F30" s="240">
        <v>6.24</v>
      </c>
      <c r="G30" s="282">
        <v>1</v>
      </c>
      <c r="H30" s="110"/>
    </row>
    <row r="31" spans="2:8" ht="36.75" customHeight="1">
      <c r="B31" s="274"/>
      <c r="C31" s="276" t="s">
        <v>493</v>
      </c>
      <c r="D31" s="277"/>
      <c r="E31" s="279"/>
      <c r="F31" s="240">
        <v>1.88</v>
      </c>
      <c r="G31" s="283"/>
      <c r="H31" s="110"/>
    </row>
    <row r="32" spans="2:8" ht="36.75" customHeight="1">
      <c r="B32" s="274"/>
      <c r="C32" s="276" t="s">
        <v>494</v>
      </c>
      <c r="D32" s="277"/>
      <c r="E32" s="278">
        <v>455.21</v>
      </c>
      <c r="F32" s="240">
        <v>6.24</v>
      </c>
      <c r="G32" s="282">
        <v>3</v>
      </c>
      <c r="H32" s="110"/>
    </row>
    <row r="33" spans="2:49" s="231" customFormat="1" ht="36.75" customHeight="1">
      <c r="B33" s="274"/>
      <c r="C33" s="276" t="s">
        <v>495</v>
      </c>
      <c r="D33" s="277"/>
      <c r="E33" s="279"/>
      <c r="F33" s="240">
        <v>1.88</v>
      </c>
      <c r="G33" s="283"/>
      <c r="H33" s="230"/>
      <c r="I33"/>
      <c r="J33"/>
      <c r="K33"/>
      <c r="L33" s="138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</row>
    <row r="34" spans="2:49" ht="36.75" customHeight="1">
      <c r="B34" s="274"/>
      <c r="C34" s="276" t="s">
        <v>496</v>
      </c>
      <c r="D34" s="277"/>
      <c r="E34" s="279"/>
      <c r="F34" s="240">
        <v>15.91</v>
      </c>
      <c r="G34" s="283"/>
      <c r="H34" s="110"/>
    </row>
    <row r="35" spans="2:49" ht="36.75" customHeight="1">
      <c r="B35" s="274"/>
      <c r="C35" s="276" t="s">
        <v>497</v>
      </c>
      <c r="D35" s="277"/>
      <c r="E35" s="286"/>
      <c r="F35" s="240">
        <v>7.95</v>
      </c>
      <c r="G35" s="284"/>
      <c r="H35" s="110"/>
    </row>
    <row r="36" spans="2:49" ht="36.75" customHeight="1">
      <c r="B36" s="274"/>
      <c r="C36" s="276" t="s">
        <v>498</v>
      </c>
      <c r="D36" s="277"/>
      <c r="E36" s="278">
        <v>555.91999999999996</v>
      </c>
      <c r="F36" s="240">
        <v>6.24</v>
      </c>
      <c r="G36" s="285">
        <v>3</v>
      </c>
      <c r="H36" s="110"/>
    </row>
    <row r="37" spans="2:49" s="231" customFormat="1" ht="36.75" customHeight="1">
      <c r="B37" s="274"/>
      <c r="C37" s="276" t="s">
        <v>499</v>
      </c>
      <c r="D37" s="277"/>
      <c r="E37" s="279"/>
      <c r="F37" s="240">
        <v>1.88</v>
      </c>
      <c r="G37" s="283"/>
      <c r="H37" s="230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</row>
    <row r="38" spans="2:49" s="231" customFormat="1" ht="36.75" customHeight="1">
      <c r="B38" s="274"/>
      <c r="C38" s="276" t="s">
        <v>500</v>
      </c>
      <c r="D38" s="277"/>
      <c r="E38" s="279"/>
      <c r="F38" s="240">
        <v>2.73</v>
      </c>
      <c r="G38" s="284"/>
      <c r="H38" s="230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</row>
    <row r="39" spans="2:49" s="231" customFormat="1" ht="36.75" customHeight="1">
      <c r="B39" s="274"/>
      <c r="C39" s="276" t="s">
        <v>501</v>
      </c>
      <c r="D39" s="277"/>
      <c r="E39" s="278">
        <v>1401.42</v>
      </c>
      <c r="F39" s="240">
        <v>6.24</v>
      </c>
      <c r="G39" s="288">
        <v>5</v>
      </c>
      <c r="H39" s="230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</row>
    <row r="40" spans="2:49" s="231" customFormat="1" ht="36.75" customHeight="1">
      <c r="B40" s="274"/>
      <c r="C40" s="276" t="s">
        <v>502</v>
      </c>
      <c r="D40" s="277"/>
      <c r="E40" s="279"/>
      <c r="F40" s="240">
        <v>1.88</v>
      </c>
      <c r="G40" s="289"/>
      <c r="H40" s="23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</row>
    <row r="41" spans="2:49" s="231" customFormat="1" ht="36.75" customHeight="1">
      <c r="B41" s="274"/>
      <c r="C41" s="276" t="s">
        <v>503</v>
      </c>
      <c r="D41" s="277"/>
      <c r="E41" s="279"/>
      <c r="F41" s="240">
        <v>4.7699999999999996</v>
      </c>
      <c r="G41" s="289"/>
      <c r="H41" s="230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</row>
    <row r="42" spans="2:49" s="231" customFormat="1" ht="36.75" customHeight="1">
      <c r="B42" s="275"/>
      <c r="C42" s="276" t="s">
        <v>504</v>
      </c>
      <c r="D42" s="277"/>
      <c r="E42" s="286"/>
      <c r="F42" s="240">
        <v>2.73</v>
      </c>
      <c r="G42" s="290"/>
      <c r="H42" s="230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</row>
    <row r="43" spans="2:49" ht="25.5" customHeight="1">
      <c r="B43" s="111" t="s">
        <v>53</v>
      </c>
      <c r="C43" s="6"/>
      <c r="D43" s="6"/>
      <c r="E43" s="241">
        <f>SUM(E8:E42)</f>
        <v>8523.49</v>
      </c>
      <c r="F43" s="241">
        <f>SUM(F8:F42)</f>
        <v>192.05999999999997</v>
      </c>
      <c r="G43" s="245">
        <f>SUM(G8:G42)</f>
        <v>23</v>
      </c>
      <c r="H43" s="112"/>
    </row>
    <row r="44" spans="2:49" ht="25.5" customHeight="1">
      <c r="B44" s="291" t="s">
        <v>54</v>
      </c>
      <c r="C44" s="291" t="s">
        <v>505</v>
      </c>
      <c r="D44" s="294" t="s">
        <v>506</v>
      </c>
      <c r="E44" s="295">
        <v>107.1</v>
      </c>
      <c r="F44" s="242">
        <v>5</v>
      </c>
      <c r="G44" s="296">
        <v>5</v>
      </c>
      <c r="H44" s="232" t="s">
        <v>507</v>
      </c>
    </row>
    <row r="45" spans="2:49" ht="25.5" customHeight="1">
      <c r="B45" s="292"/>
      <c r="C45" s="292"/>
      <c r="D45" s="294"/>
      <c r="E45" s="295"/>
      <c r="F45" s="242">
        <v>25</v>
      </c>
      <c r="G45" s="296"/>
      <c r="H45" s="232" t="s">
        <v>508</v>
      </c>
      <c r="I45" s="113"/>
      <c r="J45" s="113"/>
      <c r="K45" s="113"/>
    </row>
    <row r="46" spans="2:49" ht="25.5" customHeight="1">
      <c r="B46" s="292"/>
      <c r="C46" s="292"/>
      <c r="D46" s="294" t="s">
        <v>509</v>
      </c>
      <c r="E46" s="295">
        <v>39.6</v>
      </c>
      <c r="F46" s="242">
        <v>3.7</v>
      </c>
      <c r="G46" s="296">
        <v>2</v>
      </c>
      <c r="H46" s="232" t="s">
        <v>510</v>
      </c>
      <c r="I46" s="113"/>
      <c r="J46" s="113"/>
      <c r="K46" s="113"/>
    </row>
    <row r="47" spans="2:49" ht="25.5" customHeight="1">
      <c r="B47" s="292"/>
      <c r="C47" s="292"/>
      <c r="D47" s="294"/>
      <c r="E47" s="295"/>
      <c r="F47" s="242">
        <v>18.5</v>
      </c>
      <c r="G47" s="296"/>
      <c r="H47" s="232" t="s">
        <v>511</v>
      </c>
      <c r="I47" s="113"/>
      <c r="J47" s="113"/>
      <c r="K47" s="113"/>
    </row>
    <row r="48" spans="2:49" ht="25.5" customHeight="1">
      <c r="B48" s="292"/>
      <c r="C48" s="292"/>
      <c r="D48" s="294" t="s">
        <v>512</v>
      </c>
      <c r="E48" s="295">
        <v>0</v>
      </c>
      <c r="F48" s="242">
        <v>3.7</v>
      </c>
      <c r="G48" s="296">
        <v>0</v>
      </c>
      <c r="H48" s="246" t="s">
        <v>84</v>
      </c>
      <c r="I48" s="113"/>
      <c r="J48" s="113"/>
      <c r="K48" s="113"/>
    </row>
    <row r="49" spans="2:11" ht="25.5" customHeight="1">
      <c r="B49" s="292"/>
      <c r="C49" s="292"/>
      <c r="D49" s="294"/>
      <c r="E49" s="295"/>
      <c r="F49" s="242">
        <v>18.5</v>
      </c>
      <c r="G49" s="296"/>
      <c r="H49" s="246" t="s">
        <v>84</v>
      </c>
      <c r="I49" s="113"/>
      <c r="J49" s="113"/>
      <c r="K49" s="113"/>
    </row>
    <row r="50" spans="2:11" ht="25.5" customHeight="1">
      <c r="B50" s="292"/>
      <c r="C50" s="292"/>
      <c r="D50" s="294" t="s">
        <v>513</v>
      </c>
      <c r="E50" s="295">
        <v>5</v>
      </c>
      <c r="F50" s="242">
        <v>5</v>
      </c>
      <c r="G50" s="296">
        <v>1</v>
      </c>
      <c r="H50" s="232" t="s">
        <v>507</v>
      </c>
      <c r="I50" s="113"/>
      <c r="J50" s="113"/>
      <c r="K50" s="113"/>
    </row>
    <row r="51" spans="2:11" ht="25.5" customHeight="1">
      <c r="B51" s="292"/>
      <c r="C51" s="293"/>
      <c r="D51" s="294"/>
      <c r="E51" s="295"/>
      <c r="F51" s="242">
        <v>25</v>
      </c>
      <c r="G51" s="296"/>
      <c r="H51" s="232" t="s">
        <v>508</v>
      </c>
      <c r="I51" s="113"/>
      <c r="J51" s="113"/>
      <c r="K51" s="113"/>
    </row>
    <row r="52" spans="2:11" ht="25.5" customHeight="1">
      <c r="B52" s="292"/>
      <c r="C52" s="291" t="s">
        <v>514</v>
      </c>
      <c r="D52" s="294" t="s">
        <v>515</v>
      </c>
      <c r="E52" s="278">
        <v>86.7</v>
      </c>
      <c r="F52" s="242">
        <v>5</v>
      </c>
      <c r="G52" s="297">
        <v>5</v>
      </c>
      <c r="H52" s="232" t="s">
        <v>507</v>
      </c>
      <c r="I52" s="113"/>
      <c r="J52" s="113"/>
      <c r="K52" s="113"/>
    </row>
    <row r="53" spans="2:11" ht="25.5" customHeight="1">
      <c r="B53" s="292"/>
      <c r="C53" s="292"/>
      <c r="D53" s="294"/>
      <c r="E53" s="286"/>
      <c r="F53" s="242">
        <v>25</v>
      </c>
      <c r="G53" s="298"/>
      <c r="H53" s="232" t="s">
        <v>508</v>
      </c>
      <c r="I53" s="113"/>
      <c r="J53" s="113"/>
      <c r="K53" s="113"/>
    </row>
    <row r="54" spans="2:11" ht="25.5" customHeight="1">
      <c r="B54" s="292"/>
      <c r="C54" s="292"/>
      <c r="D54" s="294" t="s">
        <v>516</v>
      </c>
      <c r="E54" s="278">
        <v>0</v>
      </c>
      <c r="F54" s="242">
        <v>3.7</v>
      </c>
      <c r="G54" s="297">
        <v>0</v>
      </c>
      <c r="H54" s="246" t="s">
        <v>84</v>
      </c>
      <c r="I54" s="113"/>
      <c r="J54" s="113"/>
      <c r="K54" s="113"/>
    </row>
    <row r="55" spans="2:11" ht="25.5" customHeight="1">
      <c r="B55" s="292"/>
      <c r="C55" s="293"/>
      <c r="D55" s="294"/>
      <c r="E55" s="286"/>
      <c r="F55" s="242">
        <v>18.5</v>
      </c>
      <c r="G55" s="298"/>
      <c r="H55" s="246" t="s">
        <v>84</v>
      </c>
      <c r="I55" s="113"/>
      <c r="J55" s="113"/>
      <c r="K55" s="113"/>
    </row>
    <row r="56" spans="2:11" ht="25.5" customHeight="1">
      <c r="B56" s="292"/>
      <c r="C56" s="291" t="s">
        <v>517</v>
      </c>
      <c r="D56" s="294" t="s">
        <v>518</v>
      </c>
      <c r="E56" s="278">
        <v>0</v>
      </c>
      <c r="F56" s="242">
        <v>3.7</v>
      </c>
      <c r="G56" s="297">
        <v>0</v>
      </c>
      <c r="H56" s="246" t="s">
        <v>84</v>
      </c>
      <c r="I56" s="113"/>
      <c r="J56" s="113"/>
      <c r="K56" s="113"/>
    </row>
    <row r="57" spans="2:11" ht="25.5" customHeight="1">
      <c r="B57" s="292"/>
      <c r="C57" s="292"/>
      <c r="D57" s="294"/>
      <c r="E57" s="286"/>
      <c r="F57" s="242">
        <v>18.5</v>
      </c>
      <c r="G57" s="298"/>
      <c r="H57" s="246" t="s">
        <v>84</v>
      </c>
      <c r="I57" s="113"/>
      <c r="J57" s="113"/>
      <c r="K57" s="113"/>
    </row>
    <row r="58" spans="2:11" ht="25.5" customHeight="1">
      <c r="B58" s="292"/>
      <c r="C58" s="292"/>
      <c r="D58" s="294" t="s">
        <v>519</v>
      </c>
      <c r="E58" s="278">
        <v>0</v>
      </c>
      <c r="F58" s="242">
        <v>3.7</v>
      </c>
      <c r="G58" s="297">
        <v>0</v>
      </c>
      <c r="H58" s="246" t="s">
        <v>84</v>
      </c>
      <c r="I58" s="113"/>
      <c r="J58" s="113"/>
      <c r="K58" s="113"/>
    </row>
    <row r="59" spans="2:11" ht="25.5" customHeight="1">
      <c r="B59" s="292"/>
      <c r="C59" s="292"/>
      <c r="D59" s="294"/>
      <c r="E59" s="286"/>
      <c r="F59" s="242">
        <v>18.5</v>
      </c>
      <c r="G59" s="298"/>
      <c r="H59" s="246" t="s">
        <v>84</v>
      </c>
      <c r="I59" s="113"/>
      <c r="J59" s="113"/>
      <c r="K59" s="113"/>
    </row>
    <row r="60" spans="2:11" ht="25.5" customHeight="1">
      <c r="B60" s="292"/>
      <c r="C60" s="292"/>
      <c r="D60" s="294" t="s">
        <v>515</v>
      </c>
      <c r="E60" s="278">
        <v>0</v>
      </c>
      <c r="F60" s="242">
        <v>6.2</v>
      </c>
      <c r="G60" s="297">
        <v>0</v>
      </c>
      <c r="H60" s="246" t="s">
        <v>84</v>
      </c>
      <c r="I60" s="113"/>
      <c r="J60" s="113"/>
      <c r="K60" s="113"/>
    </row>
    <row r="61" spans="2:11" ht="25.5" customHeight="1">
      <c r="B61" s="292"/>
      <c r="C61" s="293"/>
      <c r="D61" s="294"/>
      <c r="E61" s="286"/>
      <c r="F61" s="242">
        <v>37</v>
      </c>
      <c r="G61" s="298"/>
      <c r="H61" s="246" t="s">
        <v>84</v>
      </c>
      <c r="I61" s="113"/>
      <c r="J61" s="113"/>
      <c r="K61" s="113"/>
    </row>
    <row r="62" spans="2:11" ht="25.5" customHeight="1">
      <c r="B62" s="292"/>
      <c r="C62" s="291" t="s">
        <v>522</v>
      </c>
      <c r="D62" s="294" t="s">
        <v>523</v>
      </c>
      <c r="E62" s="278">
        <v>150.25</v>
      </c>
      <c r="F62" s="242">
        <v>3.7</v>
      </c>
      <c r="G62" s="297">
        <v>7</v>
      </c>
      <c r="H62" s="232" t="s">
        <v>510</v>
      </c>
      <c r="I62" s="113"/>
      <c r="J62" s="113"/>
      <c r="K62" s="113"/>
    </row>
    <row r="63" spans="2:11" ht="25.5" customHeight="1">
      <c r="B63" s="292"/>
      <c r="C63" s="292"/>
      <c r="D63" s="294"/>
      <c r="E63" s="286"/>
      <c r="F63" s="242">
        <v>18.5</v>
      </c>
      <c r="G63" s="298"/>
      <c r="H63" s="232" t="s">
        <v>511</v>
      </c>
      <c r="I63" s="113"/>
      <c r="J63" s="113"/>
      <c r="K63" s="113"/>
    </row>
    <row r="64" spans="2:11" ht="25.5" customHeight="1">
      <c r="B64" s="292"/>
      <c r="C64" s="292"/>
      <c r="D64" s="294" t="s">
        <v>524</v>
      </c>
      <c r="E64" s="278">
        <v>1562.55</v>
      </c>
      <c r="F64" s="242">
        <v>6.2</v>
      </c>
      <c r="G64" s="297">
        <v>40</v>
      </c>
      <c r="H64" s="232" t="s">
        <v>520</v>
      </c>
      <c r="I64" s="113"/>
      <c r="J64" s="113"/>
      <c r="K64" s="113"/>
    </row>
    <row r="65" spans="1:11" ht="25.5" customHeight="1">
      <c r="B65" s="292"/>
      <c r="C65" s="292"/>
      <c r="D65" s="294"/>
      <c r="E65" s="286"/>
      <c r="F65" s="242">
        <v>37</v>
      </c>
      <c r="G65" s="298"/>
      <c r="H65" s="232" t="s">
        <v>521</v>
      </c>
      <c r="I65" s="113"/>
      <c r="J65" s="113"/>
      <c r="K65" s="113"/>
    </row>
    <row r="66" spans="1:11" ht="25.5" customHeight="1">
      <c r="B66" s="292"/>
      <c r="C66" s="292"/>
      <c r="D66" s="294" t="s">
        <v>525</v>
      </c>
      <c r="E66" s="278">
        <v>124.8</v>
      </c>
      <c r="F66" s="242">
        <v>3.7</v>
      </c>
      <c r="G66" s="297">
        <v>6</v>
      </c>
      <c r="H66" s="232" t="s">
        <v>510</v>
      </c>
      <c r="I66" s="113"/>
      <c r="J66" s="113"/>
      <c r="K66" s="113"/>
    </row>
    <row r="67" spans="1:11" ht="25.5" customHeight="1">
      <c r="B67" s="293"/>
      <c r="C67" s="293"/>
      <c r="D67" s="294"/>
      <c r="E67" s="286"/>
      <c r="F67" s="242">
        <v>18.5</v>
      </c>
      <c r="G67" s="298"/>
      <c r="H67" s="232" t="s">
        <v>511</v>
      </c>
      <c r="I67" s="113"/>
      <c r="J67" s="113"/>
      <c r="K67" s="113"/>
    </row>
    <row r="68" spans="1:11" ht="25.5" customHeight="1">
      <c r="B68" s="114" t="s">
        <v>53</v>
      </c>
      <c r="C68" s="114"/>
      <c r="D68" s="114"/>
      <c r="E68" s="241">
        <f>SUM(E44:E67)</f>
        <v>2076</v>
      </c>
      <c r="F68" s="241">
        <f>SUM(F44:F67)</f>
        <v>331.79999999999995</v>
      </c>
      <c r="G68" s="245">
        <f>SUM(G44:G67)</f>
        <v>66</v>
      </c>
      <c r="H68" s="112"/>
      <c r="I68" s="113"/>
      <c r="J68" s="113"/>
      <c r="K68" s="113"/>
    </row>
    <row r="69" spans="1:11" ht="31.5" customHeight="1">
      <c r="B69" s="299" t="s">
        <v>58</v>
      </c>
      <c r="C69" s="300"/>
      <c r="D69" s="300"/>
      <c r="E69" s="300"/>
      <c r="F69" s="300"/>
      <c r="G69" s="300"/>
      <c r="H69" s="301"/>
    </row>
    <row r="70" spans="1:11" ht="53.25" customHeight="1">
      <c r="A70" s="12"/>
      <c r="B70" s="109" t="s">
        <v>5</v>
      </c>
      <c r="C70" s="109" t="s">
        <v>59</v>
      </c>
      <c r="D70" s="109"/>
      <c r="E70" s="109" t="s">
        <v>6</v>
      </c>
      <c r="F70" s="109" t="s">
        <v>60</v>
      </c>
      <c r="G70" s="109" t="s">
        <v>8</v>
      </c>
      <c r="H70" s="110" t="s">
        <v>61</v>
      </c>
    </row>
    <row r="71" spans="1:11" ht="28.8" customHeight="1">
      <c r="B71" s="306" t="s">
        <v>62</v>
      </c>
      <c r="C71" s="115" t="s">
        <v>526</v>
      </c>
      <c r="D71" s="115"/>
      <c r="E71" s="242">
        <v>34045.480000000003</v>
      </c>
      <c r="F71" s="242">
        <v>68091.02</v>
      </c>
      <c r="G71" s="233">
        <v>1</v>
      </c>
      <c r="H71" s="234"/>
    </row>
    <row r="72" spans="1:11" s="231" customFormat="1" ht="24.75" customHeight="1">
      <c r="B72" s="307"/>
      <c r="C72" s="235" t="s">
        <v>528</v>
      </c>
      <c r="D72" s="235"/>
      <c r="E72" s="242">
        <v>4327.8599999999997</v>
      </c>
      <c r="F72" s="242">
        <v>5770.53</v>
      </c>
      <c r="G72" s="236">
        <v>1</v>
      </c>
      <c r="H72" s="234"/>
    </row>
    <row r="73" spans="1:11" ht="28.5" customHeight="1">
      <c r="B73" s="308"/>
      <c r="C73" s="115" t="s">
        <v>529</v>
      </c>
      <c r="D73" s="115"/>
      <c r="E73" s="242">
        <v>16781.72</v>
      </c>
      <c r="F73" s="242">
        <v>16653.41</v>
      </c>
      <c r="G73" s="233">
        <v>1</v>
      </c>
      <c r="H73" s="234" t="s">
        <v>527</v>
      </c>
    </row>
    <row r="74" spans="1:11" ht="29.25" customHeight="1">
      <c r="B74" s="117" t="s">
        <v>53</v>
      </c>
      <c r="C74" s="118"/>
      <c r="D74" s="118"/>
      <c r="E74" s="243">
        <f>SUM(E71:E73)</f>
        <v>55155.060000000005</v>
      </c>
      <c r="F74" s="243">
        <f>SUM(F71:F73)</f>
        <v>90514.96</v>
      </c>
      <c r="G74" s="245">
        <f>SUM(G71:G73)</f>
        <v>3</v>
      </c>
      <c r="H74" s="234"/>
    </row>
    <row r="75" spans="1:11" ht="24" customHeight="1">
      <c r="B75" s="13" t="s">
        <v>64</v>
      </c>
      <c r="C75" s="115" t="s">
        <v>530</v>
      </c>
      <c r="D75" s="115"/>
      <c r="E75" s="242">
        <v>0</v>
      </c>
      <c r="F75" s="242">
        <v>1701.7</v>
      </c>
      <c r="G75" s="233">
        <v>1</v>
      </c>
      <c r="H75" s="234"/>
    </row>
    <row r="76" spans="1:11" ht="27" customHeight="1">
      <c r="B76" s="117" t="s">
        <v>53</v>
      </c>
      <c r="C76" s="118"/>
      <c r="D76" s="118"/>
      <c r="E76" s="124">
        <f>SUM(E75)</f>
        <v>0</v>
      </c>
      <c r="F76" s="124">
        <f>SUM(F75)</f>
        <v>1701.7</v>
      </c>
      <c r="G76" s="237">
        <f>SUM(G75)</f>
        <v>1</v>
      </c>
      <c r="H76" s="16"/>
    </row>
    <row r="77" spans="1:11" ht="27" customHeight="1">
      <c r="B77" s="13" t="s">
        <v>65</v>
      </c>
      <c r="C77" s="118"/>
      <c r="D77" s="118"/>
      <c r="E77" s="247">
        <v>0</v>
      </c>
      <c r="F77" s="247">
        <v>0</v>
      </c>
      <c r="G77" s="248">
        <v>0</v>
      </c>
      <c r="H77" s="246" t="s">
        <v>84</v>
      </c>
    </row>
    <row r="78" spans="1:11" ht="16.5" customHeight="1">
      <c r="B78" s="117" t="s">
        <v>53</v>
      </c>
      <c r="C78" s="118"/>
      <c r="D78" s="118"/>
      <c r="E78" s="32">
        <f>SUM(E77)</f>
        <v>0</v>
      </c>
      <c r="F78" s="32">
        <f>SUM(F77)</f>
        <v>0</v>
      </c>
      <c r="G78" s="382">
        <f>SUM(G77)</f>
        <v>0</v>
      </c>
      <c r="H78" s="16"/>
    </row>
    <row r="79" spans="1:11" ht="30.75" customHeight="1">
      <c r="B79" s="13" t="s">
        <v>73</v>
      </c>
      <c r="C79" s="120"/>
      <c r="D79" s="120"/>
      <c r="E79" s="27">
        <v>0</v>
      </c>
      <c r="F79" s="27">
        <v>0</v>
      </c>
      <c r="G79" s="116">
        <v>0</v>
      </c>
      <c r="H79" s="246" t="s">
        <v>84</v>
      </c>
    </row>
    <row r="80" spans="1:11" ht="30" customHeight="1">
      <c r="B80" s="117" t="s">
        <v>53</v>
      </c>
      <c r="C80" s="118"/>
      <c r="D80" s="118"/>
      <c r="E80" s="32">
        <f>SUM(E79)</f>
        <v>0</v>
      </c>
      <c r="F80" s="32">
        <f>SUM(F79)</f>
        <v>0</v>
      </c>
      <c r="G80" s="382">
        <f>SUM(G79)</f>
        <v>0</v>
      </c>
      <c r="H80" s="16"/>
    </row>
    <row r="81" spans="2:8" ht="17.25" customHeight="1">
      <c r="B81" s="302"/>
      <c r="C81" s="303"/>
      <c r="D81" s="303"/>
      <c r="E81" s="303"/>
      <c r="F81" s="303"/>
      <c r="G81" s="303"/>
      <c r="H81" s="304"/>
    </row>
    <row r="82" spans="2:8" ht="42.75" customHeight="1">
      <c r="B82" s="114" t="s">
        <v>174</v>
      </c>
      <c r="C82" s="118"/>
      <c r="D82" s="118"/>
      <c r="E82" s="244">
        <f>SUM(E43+E68+E74+E76+E78+E80)</f>
        <v>65754.55</v>
      </c>
      <c r="F82" s="244">
        <f>SUM(F43+F68+F74+F76+F78+F80)</f>
        <v>92740.52</v>
      </c>
      <c r="G82" s="238">
        <f>SUM(G43+G68+G74+G76+G78+G80)</f>
        <v>93</v>
      </c>
      <c r="H82" s="16"/>
    </row>
    <row r="83" spans="2:8">
      <c r="B83" s="80"/>
      <c r="C83" s="81"/>
      <c r="D83" s="81"/>
      <c r="E83" s="81"/>
      <c r="F83" s="81"/>
      <c r="G83" s="81"/>
    </row>
    <row r="84" spans="2:8">
      <c r="B84" s="80"/>
      <c r="C84" s="81"/>
      <c r="D84" s="81"/>
      <c r="E84" s="81"/>
      <c r="F84" s="81"/>
      <c r="G84" s="81"/>
    </row>
    <row r="85" spans="2:8">
      <c r="B85" s="82" t="s">
        <v>533</v>
      </c>
    </row>
    <row r="86" spans="2:8">
      <c r="B86" s="82"/>
    </row>
    <row r="87" spans="2:8">
      <c r="B87" s="83" t="s">
        <v>534</v>
      </c>
    </row>
    <row r="88" spans="2:8">
      <c r="B88" s="83" t="s">
        <v>531</v>
      </c>
    </row>
    <row r="89" spans="2:8">
      <c r="B89" s="83" t="s">
        <v>532</v>
      </c>
    </row>
    <row r="90" spans="2:8">
      <c r="B90" s="84"/>
    </row>
    <row r="91" spans="2:8">
      <c r="B91" t="s">
        <v>75</v>
      </c>
    </row>
    <row r="92" spans="2:8">
      <c r="B92" s="305"/>
      <c r="C92" s="305"/>
      <c r="D92" s="305"/>
      <c r="E92" s="305"/>
    </row>
    <row r="93" spans="2:8">
      <c r="B93" t="s">
        <v>83</v>
      </c>
    </row>
    <row r="94" spans="2:8" ht="15.75" customHeight="1"/>
  </sheetData>
  <mergeCells count="105">
    <mergeCell ref="B92:E92"/>
    <mergeCell ref="B71:B73"/>
    <mergeCell ref="E60:E61"/>
    <mergeCell ref="G60:G61"/>
    <mergeCell ref="C62:C67"/>
    <mergeCell ref="D62:D63"/>
    <mergeCell ref="E62:E63"/>
    <mergeCell ref="G62:G63"/>
    <mergeCell ref="D64:D65"/>
    <mergeCell ref="E64:E65"/>
    <mergeCell ref="G64:G65"/>
    <mergeCell ref="D66:D67"/>
    <mergeCell ref="G56:G57"/>
    <mergeCell ref="D58:D59"/>
    <mergeCell ref="E58:E59"/>
    <mergeCell ref="G58:G59"/>
    <mergeCell ref="D60:D61"/>
    <mergeCell ref="E66:E67"/>
    <mergeCell ref="G66:G67"/>
    <mergeCell ref="B69:H69"/>
    <mergeCell ref="B81:H81"/>
    <mergeCell ref="B44:B67"/>
    <mergeCell ref="C44:C51"/>
    <mergeCell ref="D44:D45"/>
    <mergeCell ref="E44:E45"/>
    <mergeCell ref="G44:G45"/>
    <mergeCell ref="D46:D47"/>
    <mergeCell ref="E46:E47"/>
    <mergeCell ref="G46:G47"/>
    <mergeCell ref="D48:D49"/>
    <mergeCell ref="E48:E49"/>
    <mergeCell ref="G48:G49"/>
    <mergeCell ref="D50:D51"/>
    <mergeCell ref="E50:E51"/>
    <mergeCell ref="G50:G51"/>
    <mergeCell ref="C52:C55"/>
    <mergeCell ref="D52:D53"/>
    <mergeCell ref="E52:E53"/>
    <mergeCell ref="G52:G53"/>
    <mergeCell ref="D54:D55"/>
    <mergeCell ref="E54:E55"/>
    <mergeCell ref="G54:G55"/>
    <mergeCell ref="C56:C61"/>
    <mergeCell ref="D56:D57"/>
    <mergeCell ref="E56:E57"/>
    <mergeCell ref="C36:D36"/>
    <mergeCell ref="E36:E38"/>
    <mergeCell ref="G36:G38"/>
    <mergeCell ref="C37:D37"/>
    <mergeCell ref="C38:D38"/>
    <mergeCell ref="C39:D39"/>
    <mergeCell ref="E39:E42"/>
    <mergeCell ref="G39:G42"/>
    <mergeCell ref="C40:D40"/>
    <mergeCell ref="C41:D41"/>
    <mergeCell ref="C42:D42"/>
    <mergeCell ref="C32:D32"/>
    <mergeCell ref="E32:E35"/>
    <mergeCell ref="G32:G35"/>
    <mergeCell ref="C33:D33"/>
    <mergeCell ref="C34:D34"/>
    <mergeCell ref="C35:D35"/>
    <mergeCell ref="C28:D28"/>
    <mergeCell ref="E28:E29"/>
    <mergeCell ref="G28:G29"/>
    <mergeCell ref="C29:D29"/>
    <mergeCell ref="C30:D30"/>
    <mergeCell ref="E30:E31"/>
    <mergeCell ref="G30:G31"/>
    <mergeCell ref="C31:D31"/>
    <mergeCell ref="C15:D15"/>
    <mergeCell ref="C22:D22"/>
    <mergeCell ref="E22:E23"/>
    <mergeCell ref="G22:G23"/>
    <mergeCell ref="C23:D23"/>
    <mergeCell ref="C24:D24"/>
    <mergeCell ref="E24:E27"/>
    <mergeCell ref="G24:G27"/>
    <mergeCell ref="C25:D25"/>
    <mergeCell ref="C26:D26"/>
    <mergeCell ref="C27:D27"/>
    <mergeCell ref="B4:H4"/>
    <mergeCell ref="B5:H5"/>
    <mergeCell ref="B6:H6"/>
    <mergeCell ref="C7:D7"/>
    <mergeCell ref="B8:B42"/>
    <mergeCell ref="C8:D8"/>
    <mergeCell ref="E8:E11"/>
    <mergeCell ref="G8:G11"/>
    <mergeCell ref="C9:D9"/>
    <mergeCell ref="C10:D10"/>
    <mergeCell ref="C16:D16"/>
    <mergeCell ref="E16:E21"/>
    <mergeCell ref="G16:G21"/>
    <mergeCell ref="C17:D17"/>
    <mergeCell ref="C18:D18"/>
    <mergeCell ref="C19:D19"/>
    <mergeCell ref="C20:D20"/>
    <mergeCell ref="C21:D21"/>
    <mergeCell ref="C11:D11"/>
    <mergeCell ref="C12:D12"/>
    <mergeCell ref="E12:E15"/>
    <mergeCell ref="G12:G15"/>
    <mergeCell ref="C13:D13"/>
    <mergeCell ref="C14:D14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32C006-DFCB-48B0-BFFF-2B202B510149}">
  <dimension ref="A3:F5"/>
  <sheetViews>
    <sheetView tabSelected="1" topLeftCell="B1" workbookViewId="0">
      <selection activeCell="D4" sqref="D4"/>
    </sheetView>
  </sheetViews>
  <sheetFormatPr defaultColWidth="12.44140625" defaultRowHeight="14.4"/>
  <cols>
    <col min="1" max="1" width="75.44140625" customWidth="1"/>
    <col min="2" max="2" width="41.33203125" customWidth="1"/>
    <col min="3" max="3" width="40.21875" customWidth="1"/>
    <col min="4" max="4" width="62.33203125" customWidth="1"/>
    <col min="6" max="6" width="78.44140625" customWidth="1"/>
  </cols>
  <sheetData>
    <row r="3" spans="1:6" ht="31.2">
      <c r="B3" s="43" t="s">
        <v>76</v>
      </c>
      <c r="C3" s="44" t="s">
        <v>77</v>
      </c>
      <c r="D3" s="44" t="s">
        <v>8</v>
      </c>
    </row>
    <row r="4" spans="1:6" ht="36">
      <c r="A4" s="45" t="s">
        <v>78</v>
      </c>
      <c r="B4" s="46">
        <v>642236.01</v>
      </c>
      <c r="C4" s="46">
        <v>381637.4</v>
      </c>
      <c r="D4" s="47">
        <v>2887</v>
      </c>
      <c r="E4" s="48"/>
      <c r="F4" s="49"/>
    </row>
    <row r="5" spans="1:6">
      <c r="D5" s="1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5BF1FE-C381-429A-8CFB-C03B8789418D}">
  <dimension ref="A1:J87"/>
  <sheetViews>
    <sheetView topLeftCell="A70" workbookViewId="0">
      <selection activeCell="G39" sqref="G39"/>
    </sheetView>
  </sheetViews>
  <sheetFormatPr defaultColWidth="9.33203125" defaultRowHeight="14.4"/>
  <cols>
    <col min="1" max="1" width="3.44140625" customWidth="1"/>
    <col min="2" max="2" width="45.109375" customWidth="1"/>
    <col min="3" max="3" width="42.33203125" customWidth="1"/>
    <col min="4" max="4" width="16.6640625" customWidth="1"/>
    <col min="5" max="5" width="22.109375" customWidth="1"/>
    <col min="6" max="6" width="15.33203125" customWidth="1"/>
    <col min="7" max="7" width="34.44140625" customWidth="1"/>
    <col min="9" max="9" width="24.5546875" customWidth="1"/>
  </cols>
  <sheetData>
    <row r="1" spans="2:7" ht="30" customHeight="1">
      <c r="B1" s="1" t="s">
        <v>0</v>
      </c>
    </row>
    <row r="2" spans="2:7" ht="25.5" customHeight="1">
      <c r="B2" s="1" t="s">
        <v>1</v>
      </c>
      <c r="D2" s="2"/>
      <c r="E2" s="2"/>
    </row>
    <row r="3" spans="2:7" ht="12.75" customHeight="1">
      <c r="B3" s="1"/>
      <c r="D3" s="2"/>
      <c r="E3" s="2"/>
    </row>
    <row r="4" spans="2:7" ht="32.25" customHeight="1">
      <c r="B4" s="310" t="s">
        <v>2</v>
      </c>
      <c r="C4" s="310"/>
      <c r="D4" s="310"/>
      <c r="E4" s="310"/>
      <c r="F4" s="310"/>
      <c r="G4" s="310"/>
    </row>
    <row r="5" spans="2:7" ht="31.5" customHeight="1">
      <c r="B5" s="310" t="s">
        <v>3</v>
      </c>
      <c r="C5" s="310"/>
      <c r="D5" s="310"/>
      <c r="E5" s="310"/>
      <c r="F5" s="310"/>
      <c r="G5" s="310"/>
    </row>
    <row r="6" spans="2:7" ht="26.25" customHeight="1">
      <c r="B6" s="311" t="s">
        <v>4</v>
      </c>
      <c r="C6" s="311"/>
      <c r="D6" s="311"/>
      <c r="E6" s="311"/>
      <c r="F6" s="311"/>
      <c r="G6" s="311"/>
    </row>
    <row r="7" spans="2:7" ht="55.5" customHeight="1">
      <c r="B7" s="3" t="s">
        <v>5</v>
      </c>
      <c r="C7" s="109" t="s">
        <v>88</v>
      </c>
      <c r="D7" s="4" t="s">
        <v>6</v>
      </c>
      <c r="E7" s="4" t="s">
        <v>7</v>
      </c>
      <c r="F7" s="4" t="s">
        <v>8</v>
      </c>
      <c r="G7" s="5" t="s">
        <v>9</v>
      </c>
    </row>
    <row r="8" spans="2:7">
      <c r="B8" s="312" t="s">
        <v>10</v>
      </c>
      <c r="C8" s="6" t="s">
        <v>11</v>
      </c>
      <c r="D8" s="27">
        <v>4785.75</v>
      </c>
      <c r="E8" s="28">
        <v>3.75</v>
      </c>
      <c r="F8" s="34">
        <v>14</v>
      </c>
      <c r="G8" s="5"/>
    </row>
    <row r="9" spans="2:7">
      <c r="B9" s="312"/>
      <c r="C9" s="6" t="s">
        <v>11</v>
      </c>
      <c r="D9" s="27">
        <v>1463.75</v>
      </c>
      <c r="E9" s="28">
        <v>12.5</v>
      </c>
      <c r="F9" s="34">
        <v>3</v>
      </c>
      <c r="G9" s="5"/>
    </row>
    <row r="10" spans="2:7">
      <c r="B10" s="312"/>
      <c r="C10" s="6" t="s">
        <v>12</v>
      </c>
      <c r="D10" s="27">
        <v>477.76</v>
      </c>
      <c r="E10" s="28">
        <v>3.75</v>
      </c>
      <c r="F10" s="34">
        <v>4</v>
      </c>
      <c r="G10" s="5"/>
    </row>
    <row r="11" spans="2:7">
      <c r="B11" s="312"/>
      <c r="C11" s="6" t="s">
        <v>13</v>
      </c>
      <c r="D11" s="27">
        <v>434.81</v>
      </c>
      <c r="E11" s="28">
        <v>3.75</v>
      </c>
      <c r="F11" s="34">
        <v>4</v>
      </c>
      <c r="G11" s="5"/>
    </row>
    <row r="12" spans="2:7" ht="28.8">
      <c r="B12" s="312"/>
      <c r="C12" s="6" t="s">
        <v>14</v>
      </c>
      <c r="D12" s="27">
        <v>4434.4799999999996</v>
      </c>
      <c r="E12" s="28">
        <v>3.75</v>
      </c>
      <c r="F12" s="34">
        <v>14</v>
      </c>
      <c r="G12" s="5"/>
    </row>
    <row r="13" spans="2:7" ht="28.05" customHeight="1">
      <c r="B13" s="312"/>
      <c r="C13" s="6" t="s">
        <v>15</v>
      </c>
      <c r="D13" s="27">
        <v>352.32</v>
      </c>
      <c r="E13" s="28">
        <v>3.75</v>
      </c>
      <c r="F13" s="34">
        <v>1</v>
      </c>
      <c r="G13" s="5"/>
    </row>
    <row r="14" spans="2:7" ht="28.8">
      <c r="B14" s="312"/>
      <c r="C14" s="6" t="s">
        <v>16</v>
      </c>
      <c r="D14" s="27">
        <v>2143.5</v>
      </c>
      <c r="E14" s="28">
        <v>3.75</v>
      </c>
      <c r="F14" s="34">
        <v>3</v>
      </c>
      <c r="G14" s="5"/>
    </row>
    <row r="15" spans="2:7" ht="28.8">
      <c r="B15" s="312"/>
      <c r="C15" s="6" t="s">
        <v>17</v>
      </c>
      <c r="D15" s="27">
        <v>1370.52</v>
      </c>
      <c r="E15" s="28">
        <v>2.7</v>
      </c>
      <c r="F15" s="34">
        <v>3</v>
      </c>
      <c r="G15" s="5"/>
    </row>
    <row r="16" spans="2:7" ht="28.8">
      <c r="B16" s="312"/>
      <c r="C16" s="6" t="s">
        <v>18</v>
      </c>
      <c r="D16" s="27">
        <v>709.56</v>
      </c>
      <c r="E16" s="28">
        <v>2.7</v>
      </c>
      <c r="F16" s="34">
        <v>3</v>
      </c>
      <c r="G16" s="5"/>
    </row>
    <row r="17" spans="2:7" ht="27.15" customHeight="1">
      <c r="B17" s="312"/>
      <c r="C17" s="6" t="s">
        <v>19</v>
      </c>
      <c r="D17" s="27">
        <v>990.36</v>
      </c>
      <c r="E17" s="28">
        <v>2.7</v>
      </c>
      <c r="F17" s="34">
        <v>2</v>
      </c>
      <c r="G17" s="5"/>
    </row>
    <row r="18" spans="2:7">
      <c r="B18" s="312"/>
      <c r="C18" s="6" t="s">
        <v>20</v>
      </c>
      <c r="D18" s="27">
        <v>0</v>
      </c>
      <c r="E18" s="28">
        <v>2.7</v>
      </c>
      <c r="F18" s="34">
        <v>0</v>
      </c>
      <c r="G18" s="50" t="s">
        <v>84</v>
      </c>
    </row>
    <row r="19" spans="2:7">
      <c r="B19" s="312"/>
      <c r="C19" s="6" t="s">
        <v>21</v>
      </c>
      <c r="D19" s="27">
        <v>1985.58</v>
      </c>
      <c r="E19" s="28">
        <v>2.7</v>
      </c>
      <c r="F19" s="34">
        <v>15</v>
      </c>
      <c r="G19" s="5"/>
    </row>
    <row r="20" spans="2:7">
      <c r="B20" s="312"/>
      <c r="C20" s="6" t="s">
        <v>22</v>
      </c>
      <c r="D20" s="27">
        <v>11066.22</v>
      </c>
      <c r="E20" s="28">
        <v>2.7</v>
      </c>
      <c r="F20" s="34">
        <v>4</v>
      </c>
      <c r="G20" s="5"/>
    </row>
    <row r="21" spans="2:7">
      <c r="B21" s="312"/>
      <c r="C21" s="6" t="s">
        <v>23</v>
      </c>
      <c r="D21" s="27">
        <v>3611.63</v>
      </c>
      <c r="E21" s="28">
        <v>3.75</v>
      </c>
      <c r="F21" s="34">
        <v>6</v>
      </c>
      <c r="G21" s="5"/>
    </row>
    <row r="22" spans="2:7">
      <c r="B22" s="312"/>
      <c r="C22" s="6" t="s">
        <v>24</v>
      </c>
      <c r="D22" s="27">
        <v>0</v>
      </c>
      <c r="E22" s="28">
        <v>2.7</v>
      </c>
      <c r="F22" s="34">
        <v>0</v>
      </c>
      <c r="G22" s="50" t="s">
        <v>84</v>
      </c>
    </row>
    <row r="23" spans="2:7">
      <c r="B23" s="312"/>
      <c r="C23" s="6" t="s">
        <v>25</v>
      </c>
      <c r="D23" s="27">
        <v>50.4</v>
      </c>
      <c r="E23" s="28">
        <v>4.2</v>
      </c>
      <c r="F23" s="34">
        <v>1</v>
      </c>
      <c r="G23" s="5"/>
    </row>
    <row r="24" spans="2:7">
      <c r="B24" s="312"/>
      <c r="C24" s="6" t="s">
        <v>26</v>
      </c>
      <c r="D24" s="27">
        <v>4350.3599999999997</v>
      </c>
      <c r="E24" s="28">
        <v>4.2</v>
      </c>
      <c r="F24" s="34">
        <v>3</v>
      </c>
      <c r="G24" s="5"/>
    </row>
    <row r="25" spans="2:7">
      <c r="B25" s="312"/>
      <c r="C25" s="6" t="s">
        <v>27</v>
      </c>
      <c r="D25" s="27">
        <v>0</v>
      </c>
      <c r="E25" s="28">
        <v>2.7</v>
      </c>
      <c r="F25" s="34">
        <v>0</v>
      </c>
      <c r="G25" s="50" t="s">
        <v>84</v>
      </c>
    </row>
    <row r="26" spans="2:7">
      <c r="B26" s="312"/>
      <c r="C26" s="6" t="s">
        <v>28</v>
      </c>
      <c r="D26" s="27">
        <v>2924.63</v>
      </c>
      <c r="E26" s="28">
        <v>3.75</v>
      </c>
      <c r="F26" s="34">
        <v>7</v>
      </c>
      <c r="G26" s="5"/>
    </row>
    <row r="27" spans="2:7">
      <c r="B27" s="312"/>
      <c r="C27" s="6" t="s">
        <v>29</v>
      </c>
      <c r="D27" s="27">
        <v>0</v>
      </c>
      <c r="E27" s="28">
        <v>3.75</v>
      </c>
      <c r="F27" s="34">
        <v>0</v>
      </c>
      <c r="G27" s="50" t="s">
        <v>84</v>
      </c>
    </row>
    <row r="28" spans="2:7">
      <c r="B28" s="312"/>
      <c r="C28" s="6" t="s">
        <v>30</v>
      </c>
      <c r="D28" s="27">
        <v>12.6</v>
      </c>
      <c r="E28" s="28">
        <v>4.2</v>
      </c>
      <c r="F28" s="34">
        <v>1</v>
      </c>
      <c r="G28" s="5"/>
    </row>
    <row r="29" spans="2:7">
      <c r="B29" s="312"/>
      <c r="C29" s="6" t="s">
        <v>31</v>
      </c>
      <c r="D29" s="27">
        <v>2237.7600000000002</v>
      </c>
      <c r="E29" s="28">
        <v>4.2</v>
      </c>
      <c r="F29" s="34">
        <v>3</v>
      </c>
      <c r="G29" s="5"/>
    </row>
    <row r="30" spans="2:7">
      <c r="B30" s="312"/>
      <c r="C30" s="6" t="s">
        <v>32</v>
      </c>
      <c r="D30" s="27">
        <v>0</v>
      </c>
      <c r="E30" s="28">
        <v>3.75</v>
      </c>
      <c r="F30" s="34">
        <v>0</v>
      </c>
      <c r="G30" s="50" t="s">
        <v>84</v>
      </c>
    </row>
    <row r="31" spans="2:7">
      <c r="B31" s="312"/>
      <c r="C31" s="6" t="s">
        <v>33</v>
      </c>
      <c r="D31" s="27">
        <v>0</v>
      </c>
      <c r="E31" s="28">
        <v>2.7</v>
      </c>
      <c r="F31" s="34">
        <v>0</v>
      </c>
      <c r="G31" s="50" t="s">
        <v>84</v>
      </c>
    </row>
    <row r="32" spans="2:7" ht="28.8">
      <c r="B32" s="312"/>
      <c r="C32" s="6" t="s">
        <v>34</v>
      </c>
      <c r="D32" s="27">
        <v>0</v>
      </c>
      <c r="E32" s="28">
        <v>2.7</v>
      </c>
      <c r="F32" s="34">
        <v>1</v>
      </c>
      <c r="G32" s="5"/>
    </row>
    <row r="33" spans="2:7">
      <c r="B33" s="312"/>
      <c r="C33" s="6" t="s">
        <v>35</v>
      </c>
      <c r="D33" s="27">
        <v>4559.8100000000004</v>
      </c>
      <c r="E33" s="28">
        <v>3.75</v>
      </c>
      <c r="F33" s="34">
        <v>9</v>
      </c>
      <c r="G33" s="5"/>
    </row>
    <row r="34" spans="2:7">
      <c r="B34" s="312"/>
      <c r="C34" s="6" t="s">
        <v>36</v>
      </c>
      <c r="D34" s="27">
        <v>9410.19</v>
      </c>
      <c r="E34" s="28">
        <v>4.2</v>
      </c>
      <c r="F34" s="34">
        <v>19</v>
      </c>
      <c r="G34" s="5"/>
    </row>
    <row r="35" spans="2:7">
      <c r="B35" s="312"/>
      <c r="C35" s="6" t="s">
        <v>37</v>
      </c>
      <c r="D35" s="27">
        <v>1331.26</v>
      </c>
      <c r="E35" s="28">
        <v>3.75</v>
      </c>
      <c r="F35" s="34">
        <v>6</v>
      </c>
      <c r="G35" s="5"/>
    </row>
    <row r="36" spans="2:7">
      <c r="B36" s="312"/>
      <c r="C36" s="6" t="s">
        <v>38</v>
      </c>
      <c r="D36" s="27">
        <v>0</v>
      </c>
      <c r="E36" s="28">
        <v>2.7</v>
      </c>
      <c r="F36" s="34">
        <v>0</v>
      </c>
      <c r="G36" s="50" t="s">
        <v>84</v>
      </c>
    </row>
    <row r="37" spans="2:7">
      <c r="B37" s="312"/>
      <c r="C37" s="6" t="s">
        <v>39</v>
      </c>
      <c r="D37" s="27">
        <v>4957.3100000000004</v>
      </c>
      <c r="E37" s="28">
        <v>3.75</v>
      </c>
      <c r="F37" s="34">
        <v>12</v>
      </c>
      <c r="G37" s="5"/>
    </row>
    <row r="38" spans="2:7">
      <c r="B38" s="312"/>
      <c r="C38" s="6" t="s">
        <v>40</v>
      </c>
      <c r="D38" s="27">
        <v>0</v>
      </c>
      <c r="E38" s="28">
        <v>2.7</v>
      </c>
      <c r="F38" s="34">
        <v>0</v>
      </c>
      <c r="G38" s="50" t="s">
        <v>84</v>
      </c>
    </row>
    <row r="39" spans="2:7">
      <c r="B39" s="312"/>
      <c r="C39" s="6" t="s">
        <v>41</v>
      </c>
      <c r="D39" s="27">
        <v>0</v>
      </c>
      <c r="E39" s="28">
        <v>2.7</v>
      </c>
      <c r="F39" s="34">
        <v>0</v>
      </c>
      <c r="G39" s="50" t="s">
        <v>84</v>
      </c>
    </row>
    <row r="40" spans="2:7" ht="28.8">
      <c r="B40" s="312"/>
      <c r="C40" s="6" t="s">
        <v>42</v>
      </c>
      <c r="D40" s="27">
        <v>4801.03</v>
      </c>
      <c r="E40" s="28">
        <v>3.75</v>
      </c>
      <c r="F40" s="34">
        <v>7</v>
      </c>
      <c r="G40" s="5"/>
    </row>
    <row r="41" spans="2:7" ht="28.8">
      <c r="B41" s="312"/>
      <c r="C41" s="6" t="s">
        <v>43</v>
      </c>
      <c r="D41" s="27">
        <v>9152.2199999999993</v>
      </c>
      <c r="E41" s="28">
        <v>4.2</v>
      </c>
      <c r="F41" s="34">
        <v>12</v>
      </c>
      <c r="G41" s="5"/>
    </row>
    <row r="42" spans="2:7" ht="28.8">
      <c r="B42" s="312"/>
      <c r="C42" s="6" t="s">
        <v>44</v>
      </c>
      <c r="D42" s="27">
        <v>5465.04</v>
      </c>
      <c r="E42" s="28">
        <v>4.2</v>
      </c>
      <c r="F42" s="34">
        <v>14</v>
      </c>
      <c r="G42" s="5"/>
    </row>
    <row r="43" spans="2:7" ht="28.8">
      <c r="B43" s="312"/>
      <c r="C43" s="6" t="s">
        <v>45</v>
      </c>
      <c r="D43" s="27">
        <v>4827.0600000000004</v>
      </c>
      <c r="E43" s="28">
        <v>4.2</v>
      </c>
      <c r="F43" s="34">
        <v>11</v>
      </c>
      <c r="G43" s="5"/>
    </row>
    <row r="44" spans="2:7" ht="28.8">
      <c r="B44" s="312"/>
      <c r="C44" s="6" t="s">
        <v>46</v>
      </c>
      <c r="D44" s="27">
        <v>497.25</v>
      </c>
      <c r="E44" s="28">
        <v>3.75</v>
      </c>
      <c r="F44" s="34">
        <v>4</v>
      </c>
      <c r="G44" s="5"/>
    </row>
    <row r="45" spans="2:7" ht="28.8">
      <c r="B45" s="312"/>
      <c r="C45" s="6" t="s">
        <v>47</v>
      </c>
      <c r="D45" s="27">
        <v>2450.06</v>
      </c>
      <c r="E45" s="28">
        <v>3.75</v>
      </c>
      <c r="F45" s="34">
        <v>12</v>
      </c>
      <c r="G45" s="5"/>
    </row>
    <row r="46" spans="2:7">
      <c r="B46" s="312"/>
      <c r="C46" s="6" t="s">
        <v>48</v>
      </c>
      <c r="D46" s="27">
        <v>506.79</v>
      </c>
      <c r="E46" s="28">
        <v>2.7</v>
      </c>
      <c r="F46" s="34">
        <v>9</v>
      </c>
      <c r="G46" s="5"/>
    </row>
    <row r="47" spans="2:7">
      <c r="B47" s="312"/>
      <c r="C47" s="6" t="s">
        <v>49</v>
      </c>
      <c r="D47" s="27">
        <v>479.52</v>
      </c>
      <c r="E47" s="28">
        <v>2.7</v>
      </c>
      <c r="F47" s="34">
        <v>4</v>
      </c>
      <c r="G47" s="5"/>
    </row>
    <row r="48" spans="2:7">
      <c r="B48" s="312"/>
      <c r="C48" s="6" t="s">
        <v>50</v>
      </c>
      <c r="D48" s="27">
        <v>166.86</v>
      </c>
      <c r="E48" s="28">
        <v>2.7</v>
      </c>
      <c r="F48" s="34">
        <v>5</v>
      </c>
      <c r="G48" s="5"/>
    </row>
    <row r="49" spans="1:10">
      <c r="B49" s="312"/>
      <c r="C49" s="6" t="s">
        <v>50</v>
      </c>
      <c r="D49" s="27">
        <v>108</v>
      </c>
      <c r="E49" s="28">
        <v>9</v>
      </c>
      <c r="F49" s="34">
        <v>1</v>
      </c>
      <c r="G49" s="5"/>
    </row>
    <row r="50" spans="1:10">
      <c r="B50" s="312"/>
      <c r="C50" s="6" t="s">
        <v>51</v>
      </c>
      <c r="D50" s="27">
        <v>768.01</v>
      </c>
      <c r="E50" s="28">
        <v>3.75</v>
      </c>
      <c r="F50" s="34">
        <v>8</v>
      </c>
      <c r="G50" s="7"/>
    </row>
    <row r="51" spans="1:10">
      <c r="B51" s="312"/>
      <c r="C51" s="6" t="s">
        <v>52</v>
      </c>
      <c r="D51" s="27">
        <v>545.25</v>
      </c>
      <c r="E51" s="28">
        <v>3.75</v>
      </c>
      <c r="F51" s="34">
        <v>6</v>
      </c>
      <c r="G51" s="8"/>
    </row>
    <row r="52" spans="1:10">
      <c r="B52" s="9" t="s">
        <v>53</v>
      </c>
      <c r="C52" s="6"/>
      <c r="D52" s="29">
        <f>SUM(D8:D51)</f>
        <v>93427.64999999998</v>
      </c>
      <c r="E52" s="29">
        <f>SUM(E8:E51)</f>
        <v>165.8</v>
      </c>
      <c r="F52" s="35">
        <f>SUM(F8:F51)</f>
        <v>231</v>
      </c>
      <c r="G52" s="8"/>
    </row>
    <row r="53" spans="1:10" ht="15" customHeight="1">
      <c r="B53" s="313" t="s">
        <v>54</v>
      </c>
      <c r="C53" s="6" t="s">
        <v>55</v>
      </c>
      <c r="D53" s="30">
        <v>0</v>
      </c>
      <c r="E53" s="30">
        <v>0</v>
      </c>
      <c r="F53" s="36">
        <v>1</v>
      </c>
      <c r="G53" s="51" t="s">
        <v>85</v>
      </c>
    </row>
    <row r="54" spans="1:10">
      <c r="B54" s="313"/>
      <c r="C54" s="6" t="s">
        <v>55</v>
      </c>
      <c r="D54" s="31">
        <v>75</v>
      </c>
      <c r="E54" s="28">
        <v>9.25</v>
      </c>
      <c r="F54" s="34">
        <v>1</v>
      </c>
      <c r="G54" s="8"/>
    </row>
    <row r="55" spans="1:10">
      <c r="B55" s="313"/>
      <c r="C55" s="6" t="s">
        <v>56</v>
      </c>
      <c r="D55" s="27">
        <v>0</v>
      </c>
      <c r="E55" s="28">
        <v>0</v>
      </c>
      <c r="F55" s="34">
        <v>1</v>
      </c>
      <c r="G55" s="51" t="s">
        <v>85</v>
      </c>
      <c r="H55" s="10"/>
      <c r="I55" s="10"/>
      <c r="J55" s="10"/>
    </row>
    <row r="56" spans="1:10">
      <c r="B56" s="313"/>
      <c r="C56" s="6" t="s">
        <v>56</v>
      </c>
      <c r="D56" s="27">
        <v>0</v>
      </c>
      <c r="E56" s="28">
        <v>9.25</v>
      </c>
      <c r="F56" s="34">
        <v>0</v>
      </c>
      <c r="G56" s="50" t="s">
        <v>84</v>
      </c>
      <c r="H56" s="10"/>
      <c r="I56" s="10"/>
      <c r="J56" s="10"/>
    </row>
    <row r="57" spans="1:10">
      <c r="B57" s="313"/>
      <c r="C57" s="6" t="s">
        <v>57</v>
      </c>
      <c r="D57" s="27">
        <v>0</v>
      </c>
      <c r="E57" s="28">
        <v>9.25</v>
      </c>
      <c r="F57" s="34">
        <v>0</v>
      </c>
      <c r="G57" s="50" t="s">
        <v>84</v>
      </c>
      <c r="H57" s="10"/>
      <c r="I57" s="10"/>
      <c r="J57" s="10"/>
    </row>
    <row r="58" spans="1:10">
      <c r="B58" s="11" t="s">
        <v>53</v>
      </c>
      <c r="C58" s="11"/>
      <c r="D58" s="29">
        <f>SUM(D53:D57)</f>
        <v>75</v>
      </c>
      <c r="E58" s="29">
        <f>SUM(E53:E57)</f>
        <v>27.75</v>
      </c>
      <c r="F58" s="35">
        <f>SUM(F53:F57)</f>
        <v>3</v>
      </c>
      <c r="G58" s="8"/>
      <c r="H58" s="10"/>
      <c r="I58" s="10"/>
      <c r="J58" s="10"/>
    </row>
    <row r="59" spans="1:10" ht="31.5" customHeight="1">
      <c r="B59" s="314" t="s">
        <v>58</v>
      </c>
      <c r="C59" s="314"/>
      <c r="D59" s="314"/>
      <c r="E59" s="314"/>
      <c r="F59" s="314"/>
      <c r="G59" s="314"/>
    </row>
    <row r="60" spans="1:10" ht="53.25" customHeight="1">
      <c r="A60" s="12"/>
      <c r="B60" s="4" t="s">
        <v>5</v>
      </c>
      <c r="C60" s="4" t="s">
        <v>59</v>
      </c>
      <c r="D60" s="4" t="s">
        <v>6</v>
      </c>
      <c r="E60" s="4" t="s">
        <v>60</v>
      </c>
      <c r="F60" s="4" t="s">
        <v>8</v>
      </c>
      <c r="G60" s="5" t="s">
        <v>61</v>
      </c>
    </row>
    <row r="61" spans="1:10" ht="28.8">
      <c r="B61" s="13" t="s">
        <v>62</v>
      </c>
      <c r="C61" s="14"/>
      <c r="D61" s="27">
        <v>0</v>
      </c>
      <c r="E61" s="27">
        <v>0</v>
      </c>
      <c r="F61" s="15">
        <v>0</v>
      </c>
      <c r="G61" s="50" t="s">
        <v>84</v>
      </c>
    </row>
    <row r="62" spans="1:10" ht="15.6">
      <c r="B62" s="17" t="s">
        <v>53</v>
      </c>
      <c r="C62" s="18"/>
      <c r="D62" s="32">
        <f>SUM(D61)</f>
        <v>0</v>
      </c>
      <c r="E62" s="32">
        <f>SUM(E61)</f>
        <v>0</v>
      </c>
      <c r="F62" s="382">
        <f>SUM(F61)</f>
        <v>0</v>
      </c>
      <c r="G62" s="16"/>
    </row>
    <row r="63" spans="1:10">
      <c r="B63" s="13" t="s">
        <v>63</v>
      </c>
      <c r="C63" s="14"/>
      <c r="D63" s="27">
        <v>2033.05</v>
      </c>
      <c r="E63" s="27">
        <v>2135.65</v>
      </c>
      <c r="F63" s="15">
        <v>51</v>
      </c>
      <c r="G63" s="19"/>
      <c r="I63" s="20"/>
    </row>
    <row r="64" spans="1:10" ht="15.6">
      <c r="B64" s="17" t="s">
        <v>53</v>
      </c>
      <c r="C64" s="18"/>
      <c r="D64" s="32">
        <f>SUM(D63)</f>
        <v>2033.05</v>
      </c>
      <c r="E64" s="32">
        <f>SUM(E63)</f>
        <v>2135.65</v>
      </c>
      <c r="F64" s="382">
        <f>SUM(F63)</f>
        <v>51</v>
      </c>
      <c r="G64" s="16"/>
    </row>
    <row r="65" spans="2:9">
      <c r="B65" s="13" t="s">
        <v>64</v>
      </c>
      <c r="C65" s="14"/>
      <c r="D65" s="27">
        <v>0</v>
      </c>
      <c r="E65" s="27">
        <v>0</v>
      </c>
      <c r="F65" s="42">
        <v>0</v>
      </c>
      <c r="G65" s="50" t="s">
        <v>84</v>
      </c>
    </row>
    <row r="66" spans="2:9" ht="15.6">
      <c r="B66" s="17" t="s">
        <v>53</v>
      </c>
      <c r="C66" s="18"/>
      <c r="D66" s="32">
        <f>SUM(D65)</f>
        <v>0</v>
      </c>
      <c r="E66" s="32">
        <f>SUM(E65)</f>
        <v>0</v>
      </c>
      <c r="F66" s="382">
        <f>SUM(F65)</f>
        <v>0</v>
      </c>
      <c r="G66" s="16"/>
    </row>
    <row r="67" spans="2:9" ht="46.8">
      <c r="B67" s="306" t="s">
        <v>65</v>
      </c>
      <c r="C67" s="21" t="s">
        <v>66</v>
      </c>
      <c r="D67" s="27">
        <v>9860.3700000000008</v>
      </c>
      <c r="E67" s="27">
        <v>13147.16</v>
      </c>
      <c r="F67" s="22">
        <v>1</v>
      </c>
      <c r="G67" s="23"/>
      <c r="I67" s="24"/>
    </row>
    <row r="68" spans="2:9" ht="43.2">
      <c r="B68" s="307"/>
      <c r="C68" s="21" t="s">
        <v>67</v>
      </c>
      <c r="D68" s="27">
        <v>0</v>
      </c>
      <c r="E68" s="27">
        <v>13120</v>
      </c>
      <c r="F68" s="22">
        <v>1</v>
      </c>
      <c r="G68" s="19" t="s">
        <v>68</v>
      </c>
      <c r="I68" s="24"/>
    </row>
    <row r="69" spans="2:9" ht="57.6">
      <c r="B69" s="307"/>
      <c r="C69" s="21" t="s">
        <v>69</v>
      </c>
      <c r="D69" s="27">
        <v>2127.33</v>
      </c>
      <c r="E69" s="27">
        <v>5100</v>
      </c>
      <c r="F69" s="22">
        <v>1</v>
      </c>
      <c r="G69" s="19" t="s">
        <v>70</v>
      </c>
      <c r="I69" s="24"/>
    </row>
    <row r="70" spans="2:9" ht="31.2">
      <c r="B70" s="307"/>
      <c r="C70" s="21" t="s">
        <v>71</v>
      </c>
      <c r="D70" s="27">
        <v>0</v>
      </c>
      <c r="E70" s="27">
        <v>9150</v>
      </c>
      <c r="F70" s="22">
        <v>1</v>
      </c>
      <c r="G70" s="16"/>
      <c r="I70" s="24"/>
    </row>
    <row r="71" spans="2:9" ht="46.8">
      <c r="B71" s="307"/>
      <c r="C71" s="21" t="s">
        <v>72</v>
      </c>
      <c r="D71" s="27">
        <v>0</v>
      </c>
      <c r="E71" s="27">
        <f>1738.5</f>
        <v>1738.5</v>
      </c>
      <c r="F71" s="22">
        <v>1</v>
      </c>
      <c r="G71" s="19" t="s">
        <v>68</v>
      </c>
      <c r="I71" s="24"/>
    </row>
    <row r="72" spans="2:9" ht="15.6">
      <c r="B72" s="17" t="s">
        <v>53</v>
      </c>
      <c r="C72" s="18"/>
      <c r="D72" s="32">
        <f>SUM(D67:D71)</f>
        <v>11987.7</v>
      </c>
      <c r="E72" s="32">
        <f>SUM(E67:E71)</f>
        <v>42255.66</v>
      </c>
      <c r="F72" s="382">
        <f>SUM(F67:F71)</f>
        <v>5</v>
      </c>
      <c r="G72" s="16"/>
    </row>
    <row r="73" spans="2:9">
      <c r="B73" s="13" t="s">
        <v>73</v>
      </c>
      <c r="C73" s="25"/>
      <c r="D73" s="27">
        <v>0</v>
      </c>
      <c r="E73" s="27">
        <v>0</v>
      </c>
      <c r="F73" s="15">
        <v>0</v>
      </c>
      <c r="G73" s="50" t="s">
        <v>84</v>
      </c>
    </row>
    <row r="74" spans="2:9" ht="15.6">
      <c r="B74" s="17" t="s">
        <v>53</v>
      </c>
      <c r="C74" s="18"/>
      <c r="D74" s="32">
        <f>SUM(D73)</f>
        <v>0</v>
      </c>
      <c r="E74" s="32">
        <f>SUM(E73)</f>
        <v>0</v>
      </c>
      <c r="F74" s="382">
        <f>SUM(F73)</f>
        <v>0</v>
      </c>
      <c r="G74" s="16"/>
    </row>
    <row r="75" spans="2:9" ht="15.6">
      <c r="B75" s="309"/>
      <c r="C75" s="309"/>
      <c r="D75" s="309"/>
      <c r="E75" s="309"/>
      <c r="F75" s="309"/>
      <c r="G75" s="309"/>
    </row>
    <row r="76" spans="2:9" ht="30">
      <c r="B76" s="17" t="s">
        <v>74</v>
      </c>
      <c r="C76" s="18"/>
      <c r="D76" s="33">
        <f>D74+D72+D66+D64+D62+D58+D52</f>
        <v>107523.39999999998</v>
      </c>
      <c r="E76" s="33">
        <f>E74+E72+E66+E64+E62+E58+E52</f>
        <v>44584.860000000008</v>
      </c>
      <c r="F76" s="41">
        <f>F74+F72+F66+F64+F62+F58+F52</f>
        <v>290</v>
      </c>
      <c r="G76" s="16"/>
    </row>
    <row r="77" spans="2:9" ht="15.6">
      <c r="B77" s="37"/>
      <c r="C77" s="38"/>
      <c r="D77" s="39"/>
      <c r="E77" s="39"/>
      <c r="F77" s="40"/>
    </row>
    <row r="78" spans="2:9">
      <c r="B78" s="26" t="s">
        <v>79</v>
      </c>
    </row>
    <row r="79" spans="2:9">
      <c r="B79" s="26"/>
    </row>
    <row r="80" spans="2:9">
      <c r="B80" t="s">
        <v>80</v>
      </c>
    </row>
    <row r="81" spans="2:2">
      <c r="B81" t="s">
        <v>81</v>
      </c>
    </row>
    <row r="82" spans="2:2">
      <c r="B82" t="s">
        <v>82</v>
      </c>
    </row>
    <row r="84" spans="2:2">
      <c r="B84" t="s">
        <v>75</v>
      </c>
    </row>
    <row r="86" spans="2:2">
      <c r="B86" t="s">
        <v>83</v>
      </c>
    </row>
    <row r="87" spans="2:2" ht="15.75" customHeight="1"/>
  </sheetData>
  <mergeCells count="8">
    <mergeCell ref="B75:G75"/>
    <mergeCell ref="B67:B71"/>
    <mergeCell ref="B4:G4"/>
    <mergeCell ref="B5:G5"/>
    <mergeCell ref="B6:G6"/>
    <mergeCell ref="B8:B51"/>
    <mergeCell ref="B53:B57"/>
    <mergeCell ref="B59:G5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8F0976-9195-4712-B7C4-11DEC601FA9D}">
  <dimension ref="A1:J83"/>
  <sheetViews>
    <sheetView topLeftCell="A66" workbookViewId="0">
      <selection activeCell="B74" sqref="B74"/>
    </sheetView>
  </sheetViews>
  <sheetFormatPr defaultColWidth="9.109375" defaultRowHeight="14.4"/>
  <cols>
    <col min="1" max="1" width="3.44140625" customWidth="1"/>
    <col min="2" max="2" width="45.109375" customWidth="1"/>
    <col min="3" max="3" width="31.109375" customWidth="1"/>
    <col min="4" max="4" width="16.6640625" customWidth="1"/>
    <col min="5" max="5" width="24.88671875" customWidth="1"/>
    <col min="6" max="6" width="15.33203125" customWidth="1"/>
    <col min="7" max="7" width="34.44140625" customWidth="1"/>
  </cols>
  <sheetData>
    <row r="1" spans="2:7" ht="30" customHeight="1">
      <c r="B1" s="106" t="s">
        <v>0</v>
      </c>
    </row>
    <row r="2" spans="2:7" ht="25.5" customHeight="1">
      <c r="B2" s="106" t="s">
        <v>1</v>
      </c>
      <c r="D2" s="107"/>
      <c r="E2" s="107"/>
    </row>
    <row r="3" spans="2:7" ht="12.75" customHeight="1">
      <c r="B3" s="106"/>
      <c r="D3" s="107"/>
      <c r="E3" s="107"/>
    </row>
    <row r="4" spans="2:7" ht="32.25" customHeight="1">
      <c r="B4" s="269" t="s">
        <v>177</v>
      </c>
      <c r="C4" s="269"/>
      <c r="D4" s="269"/>
      <c r="E4" s="269"/>
      <c r="F4" s="269"/>
      <c r="G4" s="269"/>
    </row>
    <row r="5" spans="2:7" ht="31.5" customHeight="1">
      <c r="B5" s="269" t="s">
        <v>124</v>
      </c>
      <c r="C5" s="269"/>
      <c r="D5" s="269"/>
      <c r="E5" s="269"/>
      <c r="F5" s="269"/>
      <c r="G5" s="269"/>
    </row>
    <row r="6" spans="2:7" ht="26.25" customHeight="1">
      <c r="B6" s="270" t="s">
        <v>4</v>
      </c>
      <c r="C6" s="270"/>
      <c r="D6" s="270"/>
      <c r="E6" s="270"/>
      <c r="F6" s="270"/>
      <c r="G6" s="270"/>
    </row>
    <row r="7" spans="2:7" ht="55.5" customHeight="1">
      <c r="B7" s="108" t="s">
        <v>5</v>
      </c>
      <c r="C7" s="109" t="s">
        <v>88</v>
      </c>
      <c r="D7" s="109" t="s">
        <v>6</v>
      </c>
      <c r="E7" s="109" t="s">
        <v>7</v>
      </c>
      <c r="F7" s="109" t="s">
        <v>8</v>
      </c>
      <c r="G7" s="110" t="s">
        <v>9</v>
      </c>
    </row>
    <row r="8" spans="2:7" ht="55.5" customHeight="1">
      <c r="B8" s="291" t="s">
        <v>10</v>
      </c>
      <c r="C8" s="119" t="s">
        <v>125</v>
      </c>
      <c r="D8" s="122">
        <v>4558.03</v>
      </c>
      <c r="E8" s="122">
        <v>4.25</v>
      </c>
      <c r="F8" s="126">
        <v>9</v>
      </c>
      <c r="G8" s="121"/>
    </row>
    <row r="9" spans="2:7" ht="55.5" customHeight="1">
      <c r="B9" s="292"/>
      <c r="C9" s="119" t="s">
        <v>126</v>
      </c>
      <c r="D9" s="122">
        <v>763.5</v>
      </c>
      <c r="E9" s="122">
        <v>3</v>
      </c>
      <c r="F9" s="126">
        <v>9</v>
      </c>
      <c r="G9" s="121"/>
    </row>
    <row r="10" spans="2:7" ht="55.5" customHeight="1">
      <c r="B10" s="292"/>
      <c r="C10" s="119" t="s">
        <v>127</v>
      </c>
      <c r="D10" s="122">
        <v>1998.3</v>
      </c>
      <c r="E10" s="122">
        <v>6</v>
      </c>
      <c r="F10" s="126">
        <v>7</v>
      </c>
      <c r="G10" s="121"/>
    </row>
    <row r="11" spans="2:7" ht="55.5" customHeight="1">
      <c r="B11" s="292"/>
      <c r="C11" s="119" t="s">
        <v>128</v>
      </c>
      <c r="D11" s="122">
        <v>1117.05</v>
      </c>
      <c r="E11" s="122">
        <v>3</v>
      </c>
      <c r="F11" s="126">
        <v>10</v>
      </c>
      <c r="G11" s="121"/>
    </row>
    <row r="12" spans="2:7" ht="55.5" customHeight="1">
      <c r="B12" s="292"/>
      <c r="C12" s="119" t="s">
        <v>129</v>
      </c>
      <c r="D12" s="122">
        <v>154.06</v>
      </c>
      <c r="E12" s="122">
        <v>4.25</v>
      </c>
      <c r="F12" s="126">
        <v>2</v>
      </c>
      <c r="G12" s="121"/>
    </row>
    <row r="13" spans="2:7" ht="55.5" customHeight="1">
      <c r="B13" s="292"/>
      <c r="C13" s="119" t="s">
        <v>130</v>
      </c>
      <c r="D13" s="122">
        <v>9860.77</v>
      </c>
      <c r="E13" s="122">
        <v>4.75</v>
      </c>
      <c r="F13" s="126">
        <v>7</v>
      </c>
      <c r="G13" s="121"/>
    </row>
    <row r="14" spans="2:7" ht="55.5" customHeight="1">
      <c r="B14" s="292"/>
      <c r="C14" s="119" t="s">
        <v>131</v>
      </c>
      <c r="D14" s="122">
        <v>1761.39</v>
      </c>
      <c r="E14" s="122">
        <v>3</v>
      </c>
      <c r="F14" s="126">
        <v>6</v>
      </c>
      <c r="G14" s="121"/>
    </row>
    <row r="15" spans="2:7" ht="55.5" customHeight="1">
      <c r="B15" s="292"/>
      <c r="C15" s="119" t="s">
        <v>132</v>
      </c>
      <c r="D15" s="122">
        <v>225.01</v>
      </c>
      <c r="E15" s="122">
        <v>3</v>
      </c>
      <c r="F15" s="126">
        <v>3</v>
      </c>
      <c r="G15" s="121"/>
    </row>
    <row r="16" spans="2:7" ht="55.5" customHeight="1">
      <c r="B16" s="292"/>
      <c r="C16" s="119" t="s">
        <v>133</v>
      </c>
      <c r="D16" s="122">
        <v>2940.47</v>
      </c>
      <c r="E16" s="122">
        <v>4.25</v>
      </c>
      <c r="F16" s="126">
        <v>8</v>
      </c>
      <c r="G16" s="121"/>
    </row>
    <row r="17" spans="2:7" ht="55.5" customHeight="1">
      <c r="B17" s="292"/>
      <c r="C17" s="119" t="s">
        <v>134</v>
      </c>
      <c r="D17" s="122">
        <v>710.25</v>
      </c>
      <c r="E17" s="122">
        <v>3</v>
      </c>
      <c r="F17" s="126">
        <v>3</v>
      </c>
      <c r="G17" s="121"/>
    </row>
    <row r="18" spans="2:7" ht="55.5" customHeight="1">
      <c r="B18" s="292"/>
      <c r="C18" s="119" t="s">
        <v>135</v>
      </c>
      <c r="D18" s="122">
        <v>1133.69</v>
      </c>
      <c r="E18" s="122">
        <v>4.25</v>
      </c>
      <c r="F18" s="126">
        <v>4</v>
      </c>
      <c r="G18" s="121"/>
    </row>
    <row r="19" spans="2:7" ht="55.5" customHeight="1">
      <c r="B19" s="292"/>
      <c r="C19" s="119" t="s">
        <v>136</v>
      </c>
      <c r="D19" s="122">
        <v>351</v>
      </c>
      <c r="E19" s="122">
        <v>3</v>
      </c>
      <c r="F19" s="126">
        <v>1</v>
      </c>
      <c r="G19" s="121"/>
    </row>
    <row r="20" spans="2:7" ht="55.5" customHeight="1">
      <c r="B20" s="292"/>
      <c r="C20" s="119" t="s">
        <v>136</v>
      </c>
      <c r="D20" s="122">
        <v>324</v>
      </c>
      <c r="E20" s="122">
        <v>6</v>
      </c>
      <c r="F20" s="126">
        <v>1</v>
      </c>
      <c r="G20" s="121"/>
    </row>
    <row r="21" spans="2:7" ht="55.5" customHeight="1">
      <c r="B21" s="292"/>
      <c r="C21" s="119" t="s">
        <v>137</v>
      </c>
      <c r="D21" s="122">
        <v>3863.03</v>
      </c>
      <c r="E21" s="122">
        <v>4.25</v>
      </c>
      <c r="F21" s="126">
        <v>4</v>
      </c>
      <c r="G21" s="121"/>
    </row>
    <row r="22" spans="2:7" ht="55.5" customHeight="1">
      <c r="B22" s="292"/>
      <c r="C22" s="119" t="s">
        <v>138</v>
      </c>
      <c r="D22" s="122">
        <v>2140.0100000000002</v>
      </c>
      <c r="E22" s="122">
        <v>3</v>
      </c>
      <c r="F22" s="126">
        <v>5</v>
      </c>
      <c r="G22" s="121"/>
    </row>
    <row r="23" spans="2:7" ht="55.5" customHeight="1">
      <c r="B23" s="292"/>
      <c r="C23" s="119" t="s">
        <v>139</v>
      </c>
      <c r="D23" s="122">
        <v>490.13</v>
      </c>
      <c r="E23" s="122">
        <v>3</v>
      </c>
      <c r="F23" s="126">
        <v>4</v>
      </c>
      <c r="G23" s="121"/>
    </row>
    <row r="24" spans="2:7" ht="55.5" customHeight="1">
      <c r="B24" s="292"/>
      <c r="C24" s="119" t="s">
        <v>140</v>
      </c>
      <c r="D24" s="122">
        <v>721.85</v>
      </c>
      <c r="E24" s="122">
        <v>6</v>
      </c>
      <c r="F24" s="126">
        <v>3</v>
      </c>
      <c r="G24" s="121"/>
    </row>
    <row r="25" spans="2:7" ht="55.5" customHeight="1">
      <c r="B25" s="292"/>
      <c r="C25" s="119" t="s">
        <v>141</v>
      </c>
      <c r="D25" s="122">
        <v>550.38</v>
      </c>
      <c r="E25" s="122">
        <v>4.25</v>
      </c>
      <c r="F25" s="126">
        <v>3</v>
      </c>
      <c r="G25" s="121"/>
    </row>
    <row r="26" spans="2:7" ht="55.5" customHeight="1">
      <c r="B26" s="292"/>
      <c r="C26" s="119" t="s">
        <v>142</v>
      </c>
      <c r="D26" s="122">
        <v>109.13</v>
      </c>
      <c r="E26" s="122">
        <v>3</v>
      </c>
      <c r="F26" s="126">
        <v>2</v>
      </c>
      <c r="G26" s="121"/>
    </row>
    <row r="27" spans="2:7" ht="55.5" customHeight="1">
      <c r="B27" s="292"/>
      <c r="C27" s="119" t="s">
        <v>143</v>
      </c>
      <c r="D27" s="122">
        <v>1034.3399999999999</v>
      </c>
      <c r="E27" s="122">
        <v>4.25</v>
      </c>
      <c r="F27" s="126">
        <v>3</v>
      </c>
      <c r="G27" s="121"/>
    </row>
    <row r="28" spans="2:7" ht="55.5" customHeight="1">
      <c r="B28" s="292"/>
      <c r="C28" s="119" t="s">
        <v>144</v>
      </c>
      <c r="D28" s="122">
        <v>105.38</v>
      </c>
      <c r="E28" s="122">
        <v>3</v>
      </c>
      <c r="F28" s="126">
        <v>2</v>
      </c>
      <c r="G28" s="121"/>
    </row>
    <row r="29" spans="2:7" ht="55.5" customHeight="1">
      <c r="B29" s="292"/>
      <c r="C29" s="119" t="s">
        <v>145</v>
      </c>
      <c r="D29" s="122">
        <v>2900.1</v>
      </c>
      <c r="E29" s="122">
        <v>4.25</v>
      </c>
      <c r="F29" s="126">
        <v>11</v>
      </c>
      <c r="G29" s="121"/>
    </row>
    <row r="30" spans="2:7" ht="55.5" customHeight="1">
      <c r="B30" s="292"/>
      <c r="C30" s="119" t="s">
        <v>146</v>
      </c>
      <c r="D30" s="122">
        <v>0</v>
      </c>
      <c r="E30" s="122">
        <v>3</v>
      </c>
      <c r="F30" s="126">
        <v>0</v>
      </c>
      <c r="G30" s="121" t="s">
        <v>84</v>
      </c>
    </row>
    <row r="31" spans="2:7" ht="55.5" customHeight="1">
      <c r="B31" s="292"/>
      <c r="C31" s="119" t="s">
        <v>147</v>
      </c>
      <c r="D31" s="122">
        <v>369.76</v>
      </c>
      <c r="E31" s="122">
        <v>4.25</v>
      </c>
      <c r="F31" s="126">
        <v>5</v>
      </c>
      <c r="G31" s="121"/>
    </row>
    <row r="32" spans="2:7" ht="55.5" customHeight="1">
      <c r="B32" s="292"/>
      <c r="C32" s="119" t="s">
        <v>148</v>
      </c>
      <c r="D32" s="122">
        <v>0</v>
      </c>
      <c r="E32" s="122">
        <v>3</v>
      </c>
      <c r="F32" s="126">
        <v>0</v>
      </c>
      <c r="G32" s="121" t="s">
        <v>84</v>
      </c>
    </row>
    <row r="33" spans="2:7" ht="55.5" customHeight="1">
      <c r="B33" s="292"/>
      <c r="C33" s="119" t="s">
        <v>149</v>
      </c>
      <c r="D33" s="122">
        <v>1816.88</v>
      </c>
      <c r="E33" s="122">
        <v>4.25</v>
      </c>
      <c r="F33" s="126">
        <v>4</v>
      </c>
      <c r="G33" s="121"/>
    </row>
    <row r="34" spans="2:7" ht="55.5" customHeight="1">
      <c r="B34" s="292"/>
      <c r="C34" s="119" t="s">
        <v>150</v>
      </c>
      <c r="D34" s="122">
        <v>655.5</v>
      </c>
      <c r="E34" s="122">
        <v>3</v>
      </c>
      <c r="F34" s="126">
        <v>4</v>
      </c>
      <c r="G34" s="121"/>
    </row>
    <row r="35" spans="2:7" ht="55.5" customHeight="1">
      <c r="B35" s="292"/>
      <c r="C35" s="119" t="s">
        <v>151</v>
      </c>
      <c r="D35" s="122">
        <v>0</v>
      </c>
      <c r="E35" s="122">
        <v>3</v>
      </c>
      <c r="F35" s="126">
        <v>0</v>
      </c>
      <c r="G35" s="121" t="s">
        <v>84</v>
      </c>
    </row>
    <row r="36" spans="2:7" ht="55.5" customHeight="1">
      <c r="B36" s="292"/>
      <c r="C36" s="119" t="s">
        <v>152</v>
      </c>
      <c r="D36" s="122">
        <v>2927.2</v>
      </c>
      <c r="E36" s="122">
        <v>4.25</v>
      </c>
      <c r="F36" s="126">
        <v>11</v>
      </c>
      <c r="G36" s="121"/>
    </row>
    <row r="37" spans="2:7" ht="55.5" customHeight="1">
      <c r="B37" s="292"/>
      <c r="C37" s="119" t="s">
        <v>153</v>
      </c>
      <c r="D37" s="122">
        <v>404.25</v>
      </c>
      <c r="E37" s="122">
        <v>3</v>
      </c>
      <c r="F37" s="126">
        <v>5</v>
      </c>
      <c r="G37" s="121"/>
    </row>
    <row r="38" spans="2:7" ht="55.5" customHeight="1">
      <c r="B38" s="292"/>
      <c r="C38" s="119" t="s">
        <v>154</v>
      </c>
      <c r="D38" s="122">
        <v>1488.53</v>
      </c>
      <c r="E38" s="122">
        <v>3</v>
      </c>
      <c r="F38" s="126">
        <v>7</v>
      </c>
      <c r="G38" s="121"/>
    </row>
    <row r="39" spans="2:7" ht="55.5" customHeight="1">
      <c r="B39" s="292"/>
      <c r="C39" s="119" t="s">
        <v>155</v>
      </c>
      <c r="D39" s="122">
        <v>4088.93</v>
      </c>
      <c r="E39" s="122">
        <v>4.25</v>
      </c>
      <c r="F39" s="126">
        <v>5</v>
      </c>
      <c r="G39" s="121"/>
    </row>
    <row r="40" spans="2:7" ht="55.5" customHeight="1">
      <c r="B40" s="292"/>
      <c r="C40" s="119" t="s">
        <v>156</v>
      </c>
      <c r="D40" s="122">
        <v>0</v>
      </c>
      <c r="E40" s="122">
        <v>3</v>
      </c>
      <c r="F40" s="126">
        <v>0</v>
      </c>
      <c r="G40" s="121" t="s">
        <v>84</v>
      </c>
    </row>
    <row r="41" spans="2:7" ht="55.5" customHeight="1">
      <c r="B41" s="292"/>
      <c r="C41" s="119" t="s">
        <v>157</v>
      </c>
      <c r="D41" s="122">
        <v>65.63</v>
      </c>
      <c r="E41" s="122">
        <v>4.25</v>
      </c>
      <c r="F41" s="126">
        <v>1</v>
      </c>
      <c r="G41" s="121"/>
    </row>
    <row r="42" spans="2:7" ht="55.5" customHeight="1">
      <c r="B42" s="292"/>
      <c r="C42" s="119" t="s">
        <v>158</v>
      </c>
      <c r="D42" s="122">
        <v>270.08</v>
      </c>
      <c r="E42" s="122">
        <v>4.25</v>
      </c>
      <c r="F42" s="126">
        <v>3</v>
      </c>
      <c r="G42" s="121"/>
    </row>
    <row r="43" spans="2:7" ht="55.5" customHeight="1">
      <c r="B43" s="292"/>
      <c r="C43" s="119" t="s">
        <v>159</v>
      </c>
      <c r="D43" s="122">
        <v>386.25</v>
      </c>
      <c r="E43" s="122">
        <v>3</v>
      </c>
      <c r="F43" s="126">
        <v>7</v>
      </c>
      <c r="G43" s="121"/>
    </row>
    <row r="44" spans="2:7" ht="55.5" customHeight="1">
      <c r="B44" s="292"/>
      <c r="C44" s="119" t="s">
        <v>159</v>
      </c>
      <c r="D44" s="122">
        <v>186</v>
      </c>
      <c r="E44" s="122">
        <v>6</v>
      </c>
      <c r="F44" s="126">
        <v>1</v>
      </c>
      <c r="G44" s="121"/>
    </row>
    <row r="45" spans="2:7" ht="55.5" customHeight="1">
      <c r="B45" s="292"/>
      <c r="C45" s="119" t="s">
        <v>160</v>
      </c>
      <c r="D45" s="122">
        <v>772.88</v>
      </c>
      <c r="E45" s="122">
        <v>3</v>
      </c>
      <c r="F45" s="126">
        <v>9</v>
      </c>
      <c r="G45" s="121"/>
    </row>
    <row r="46" spans="2:7" ht="55.5" customHeight="1">
      <c r="B46" s="292"/>
      <c r="C46" s="119" t="s">
        <v>161</v>
      </c>
      <c r="D46" s="122">
        <v>94.5</v>
      </c>
      <c r="E46" s="122">
        <v>3</v>
      </c>
      <c r="F46" s="126">
        <v>1</v>
      </c>
      <c r="G46" s="121"/>
    </row>
    <row r="47" spans="2:7" ht="55.5" customHeight="1">
      <c r="B47" s="292"/>
      <c r="C47" s="119" t="s">
        <v>162</v>
      </c>
      <c r="D47" s="122">
        <v>463.63</v>
      </c>
      <c r="E47" s="122">
        <v>3</v>
      </c>
      <c r="F47" s="126">
        <v>3</v>
      </c>
      <c r="G47" s="121"/>
    </row>
    <row r="48" spans="2:7" ht="55.5" customHeight="1">
      <c r="B48" s="292"/>
      <c r="C48" s="119" t="s">
        <v>163</v>
      </c>
      <c r="D48" s="122">
        <v>0</v>
      </c>
      <c r="E48" s="122">
        <v>3</v>
      </c>
      <c r="F48" s="126">
        <v>0</v>
      </c>
      <c r="G48" s="121" t="s">
        <v>84</v>
      </c>
    </row>
    <row r="49" spans="1:10" ht="55.5" customHeight="1">
      <c r="B49" s="292"/>
      <c r="C49" s="119" t="s">
        <v>164</v>
      </c>
      <c r="D49" s="122">
        <v>214</v>
      </c>
      <c r="E49" s="122">
        <v>3</v>
      </c>
      <c r="F49" s="126">
        <v>2</v>
      </c>
      <c r="G49" s="121"/>
    </row>
    <row r="50" spans="1:10" ht="55.5" customHeight="1">
      <c r="B50" s="292"/>
      <c r="C50" s="119" t="s">
        <v>165</v>
      </c>
      <c r="D50" s="122">
        <v>9117.69</v>
      </c>
      <c r="E50" s="122">
        <v>4.75</v>
      </c>
      <c r="F50" s="126">
        <v>12</v>
      </c>
      <c r="G50" s="119" t="s">
        <v>166</v>
      </c>
    </row>
    <row r="51" spans="1:10" ht="55.5" customHeight="1">
      <c r="B51" s="293"/>
      <c r="C51" s="119" t="s">
        <v>165</v>
      </c>
      <c r="D51" s="122">
        <v>0</v>
      </c>
      <c r="E51" s="122">
        <v>9.5</v>
      </c>
      <c r="F51" s="126">
        <v>0</v>
      </c>
      <c r="G51" s="121" t="s">
        <v>84</v>
      </c>
    </row>
    <row r="52" spans="1:10" ht="25.5" customHeight="1">
      <c r="B52" s="111" t="s">
        <v>53</v>
      </c>
      <c r="C52" s="6"/>
      <c r="D52" s="123">
        <f>SUM(D8:D51)</f>
        <v>61133.57999999998</v>
      </c>
      <c r="E52" s="123">
        <f>SUM(E8:E51)</f>
        <v>171.5</v>
      </c>
      <c r="F52" s="383">
        <f>SUM(F8:F51)</f>
        <v>187</v>
      </c>
      <c r="G52" s="112"/>
    </row>
    <row r="53" spans="1:10" ht="55.5" customHeight="1">
      <c r="B53" s="313" t="s">
        <v>54</v>
      </c>
      <c r="C53" s="119" t="s">
        <v>167</v>
      </c>
      <c r="D53" s="122">
        <v>0</v>
      </c>
      <c r="E53" s="122">
        <v>0</v>
      </c>
      <c r="F53" s="126">
        <v>2</v>
      </c>
      <c r="G53" s="119" t="s">
        <v>168</v>
      </c>
    </row>
    <row r="54" spans="1:10" ht="55.5" customHeight="1">
      <c r="B54" s="313"/>
      <c r="C54" s="119" t="s">
        <v>167</v>
      </c>
      <c r="D54" s="122">
        <v>111</v>
      </c>
      <c r="E54" s="122">
        <v>37</v>
      </c>
      <c r="F54" s="126">
        <v>3</v>
      </c>
      <c r="G54" s="119"/>
    </row>
    <row r="55" spans="1:10" ht="55.5" customHeight="1">
      <c r="B55" s="313"/>
      <c r="C55" s="119" t="s">
        <v>169</v>
      </c>
      <c r="D55" s="122">
        <v>0</v>
      </c>
      <c r="E55" s="122">
        <v>0</v>
      </c>
      <c r="F55" s="126">
        <v>0</v>
      </c>
      <c r="G55" s="119" t="s">
        <v>168</v>
      </c>
    </row>
    <row r="56" spans="1:10" ht="55.5" customHeight="1">
      <c r="B56" s="313"/>
      <c r="C56" s="119" t="s">
        <v>169</v>
      </c>
      <c r="D56" s="122">
        <v>2232</v>
      </c>
      <c r="E56" s="122">
        <v>124</v>
      </c>
      <c r="F56" s="126">
        <v>16</v>
      </c>
      <c r="G56" s="119"/>
      <c r="H56" s="113"/>
      <c r="I56" s="113"/>
      <c r="J56" s="113"/>
    </row>
    <row r="57" spans="1:10" ht="25.5" customHeight="1">
      <c r="B57" s="114" t="s">
        <v>53</v>
      </c>
      <c r="C57" s="114"/>
      <c r="D57" s="123">
        <f>SUM(D53:D56)</f>
        <v>2343</v>
      </c>
      <c r="E57" s="123">
        <f>SUM(E53:E56)</f>
        <v>161</v>
      </c>
      <c r="F57" s="383">
        <f>SUM(F53:F56)</f>
        <v>21</v>
      </c>
      <c r="G57" s="112"/>
      <c r="H57" s="113"/>
      <c r="I57" s="113"/>
      <c r="J57" s="113"/>
    </row>
    <row r="58" spans="1:10" ht="31.5" customHeight="1">
      <c r="B58" s="316" t="s">
        <v>58</v>
      </c>
      <c r="C58" s="316"/>
      <c r="D58" s="316"/>
      <c r="E58" s="316"/>
      <c r="F58" s="316"/>
      <c r="G58" s="317"/>
    </row>
    <row r="59" spans="1:10" ht="53.25" customHeight="1">
      <c r="A59" s="12"/>
      <c r="B59" s="109" t="s">
        <v>5</v>
      </c>
      <c r="C59" s="109" t="s">
        <v>59</v>
      </c>
      <c r="D59" s="109" t="s">
        <v>6</v>
      </c>
      <c r="E59" s="109" t="s">
        <v>60</v>
      </c>
      <c r="F59" s="109" t="s">
        <v>8</v>
      </c>
      <c r="G59" s="110" t="s">
        <v>61</v>
      </c>
    </row>
    <row r="60" spans="1:10" ht="33" customHeight="1">
      <c r="B60" s="13" t="s">
        <v>62</v>
      </c>
      <c r="C60" s="115"/>
      <c r="D60" s="122">
        <v>0</v>
      </c>
      <c r="E60" s="27">
        <v>0</v>
      </c>
      <c r="F60" s="116">
        <v>0</v>
      </c>
      <c r="G60" s="121" t="s">
        <v>84</v>
      </c>
    </row>
    <row r="61" spans="1:10" ht="20.100000000000001" customHeight="1">
      <c r="B61" s="117" t="s">
        <v>53</v>
      </c>
      <c r="C61" s="118"/>
      <c r="D61" s="124">
        <f>D60</f>
        <v>0</v>
      </c>
      <c r="E61" s="124">
        <f>E60</f>
        <v>0</v>
      </c>
      <c r="F61" s="384">
        <f>F60</f>
        <v>0</v>
      </c>
      <c r="G61" s="16"/>
    </row>
    <row r="62" spans="1:10" ht="39.9" customHeight="1">
      <c r="B62" s="13" t="s">
        <v>63</v>
      </c>
      <c r="C62" s="119" t="s">
        <v>170</v>
      </c>
      <c r="D62" s="122">
        <v>7013.85</v>
      </c>
      <c r="E62" s="122">
        <v>5692.16</v>
      </c>
      <c r="F62" s="116">
        <v>107</v>
      </c>
      <c r="G62" s="128" t="s">
        <v>179</v>
      </c>
    </row>
    <row r="63" spans="1:10" ht="20.100000000000001" customHeight="1">
      <c r="B63" s="117" t="s">
        <v>53</v>
      </c>
      <c r="C63" s="118"/>
      <c r="D63" s="124">
        <f>D62</f>
        <v>7013.85</v>
      </c>
      <c r="E63" s="124">
        <f>E62</f>
        <v>5692.16</v>
      </c>
      <c r="F63" s="384">
        <f>F62</f>
        <v>107</v>
      </c>
      <c r="G63" s="16"/>
    </row>
    <row r="64" spans="1:10" ht="59.4" customHeight="1">
      <c r="B64" s="13" t="s">
        <v>64</v>
      </c>
      <c r="C64" s="119" t="s">
        <v>171</v>
      </c>
      <c r="D64" s="122">
        <v>1341.28</v>
      </c>
      <c r="E64" s="122">
        <v>1341.28</v>
      </c>
      <c r="F64" s="116">
        <v>1</v>
      </c>
      <c r="G64" s="116"/>
    </row>
    <row r="65" spans="2:7" ht="20.100000000000001" customHeight="1">
      <c r="B65" s="117" t="s">
        <v>53</v>
      </c>
      <c r="C65" s="118"/>
      <c r="D65" s="124">
        <f>D64</f>
        <v>1341.28</v>
      </c>
      <c r="E65" s="124">
        <f>E64</f>
        <v>1341.28</v>
      </c>
      <c r="F65" s="384">
        <f>F64</f>
        <v>1</v>
      </c>
      <c r="G65" s="16"/>
    </row>
    <row r="66" spans="2:7" ht="39.9" customHeight="1">
      <c r="B66" s="13" t="s">
        <v>65</v>
      </c>
      <c r="C66" s="119" t="s">
        <v>172</v>
      </c>
      <c r="D66" s="122">
        <v>6860</v>
      </c>
      <c r="E66" s="122">
        <v>20580</v>
      </c>
      <c r="F66" s="116">
        <v>1</v>
      </c>
      <c r="G66" s="116" t="s">
        <v>173</v>
      </c>
    </row>
    <row r="67" spans="2:7" ht="20.100000000000001" customHeight="1">
      <c r="B67" s="117" t="s">
        <v>53</v>
      </c>
      <c r="C67" s="118"/>
      <c r="D67" s="124">
        <f>D66</f>
        <v>6860</v>
      </c>
      <c r="E67" s="124">
        <f>E66</f>
        <v>20580</v>
      </c>
      <c r="F67" s="384">
        <f>F66</f>
        <v>1</v>
      </c>
      <c r="G67" s="16"/>
    </row>
    <row r="68" spans="2:7" ht="39.9" customHeight="1">
      <c r="B68" s="13" t="s">
        <v>73</v>
      </c>
      <c r="C68" s="120"/>
      <c r="D68" s="27">
        <v>0</v>
      </c>
      <c r="E68" s="27">
        <v>0</v>
      </c>
      <c r="F68" s="116">
        <v>0</v>
      </c>
      <c r="G68" s="121" t="s">
        <v>84</v>
      </c>
    </row>
    <row r="69" spans="2:7" ht="20.100000000000001" customHeight="1">
      <c r="B69" s="117" t="s">
        <v>53</v>
      </c>
      <c r="C69" s="118"/>
      <c r="D69" s="124">
        <f>D68</f>
        <v>0</v>
      </c>
      <c r="E69" s="124">
        <f>E68</f>
        <v>0</v>
      </c>
      <c r="F69" s="384">
        <f>F68</f>
        <v>0</v>
      </c>
      <c r="G69" s="16"/>
    </row>
    <row r="70" spans="2:7" ht="17.25" customHeight="1">
      <c r="B70" s="315"/>
      <c r="C70" s="315"/>
      <c r="D70" s="315"/>
      <c r="E70" s="315"/>
      <c r="F70" s="315"/>
      <c r="G70" s="315"/>
    </row>
    <row r="71" spans="2:7" ht="33" customHeight="1">
      <c r="B71" s="114" t="s">
        <v>174</v>
      </c>
      <c r="C71" s="118"/>
      <c r="D71" s="125">
        <f>SUM(D69,D67,D65,D63,D61,D57,D52)</f>
        <v>78691.709999999977</v>
      </c>
      <c r="E71" s="125">
        <f>SUM(E69,E67,E65,E63,E61,E57,E52)</f>
        <v>27945.94</v>
      </c>
      <c r="F71" s="127">
        <f>SUM(F69,F67,F65,F63,F61,F57,F52)</f>
        <v>317</v>
      </c>
      <c r="G71" s="16"/>
    </row>
    <row r="72" spans="2:7">
      <c r="B72" s="80"/>
      <c r="C72" s="81"/>
      <c r="D72" s="81"/>
      <c r="E72" s="81"/>
      <c r="F72" s="81"/>
    </row>
    <row r="73" spans="2:7">
      <c r="B73" s="80"/>
      <c r="C73" s="81"/>
      <c r="D73" s="81"/>
      <c r="E73" s="81"/>
      <c r="F73" s="81"/>
    </row>
    <row r="74" spans="2:7">
      <c r="B74" s="82" t="s">
        <v>178</v>
      </c>
    </row>
    <row r="75" spans="2:7">
      <c r="B75" s="82"/>
    </row>
    <row r="76" spans="2:7">
      <c r="B76" s="83" t="s">
        <v>121</v>
      </c>
    </row>
    <row r="77" spans="2:7">
      <c r="B77" s="83" t="s">
        <v>175</v>
      </c>
    </row>
    <row r="78" spans="2:7">
      <c r="B78" s="83" t="s">
        <v>176</v>
      </c>
    </row>
    <row r="79" spans="2:7">
      <c r="B79" s="84"/>
    </row>
    <row r="80" spans="2:7">
      <c r="B80" t="s">
        <v>83</v>
      </c>
    </row>
    <row r="81" spans="2:4">
      <c r="B81" s="305"/>
      <c r="C81" s="305"/>
      <c r="D81" s="305"/>
    </row>
    <row r="83" spans="2:4" ht="15.75" customHeight="1"/>
  </sheetData>
  <mergeCells count="8">
    <mergeCell ref="B70:G70"/>
    <mergeCell ref="B81:D81"/>
    <mergeCell ref="B4:G4"/>
    <mergeCell ref="B5:G5"/>
    <mergeCell ref="B6:G6"/>
    <mergeCell ref="B8:B51"/>
    <mergeCell ref="B53:B56"/>
    <mergeCell ref="B58:G5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56493C-8FDF-48A7-9933-6E7263317A9F}">
  <dimension ref="A1:J93"/>
  <sheetViews>
    <sheetView topLeftCell="A79" workbookViewId="0">
      <selection activeCell="G90" sqref="G90"/>
    </sheetView>
  </sheetViews>
  <sheetFormatPr defaultColWidth="9.109375" defaultRowHeight="14.4"/>
  <cols>
    <col min="1" max="1" width="3.44140625" customWidth="1"/>
    <col min="2" max="2" width="45.109375" customWidth="1"/>
    <col min="3" max="3" width="31.109375" customWidth="1"/>
    <col min="4" max="4" width="16.6640625" customWidth="1"/>
    <col min="5" max="5" width="17" customWidth="1"/>
    <col min="6" max="6" width="15.33203125" customWidth="1"/>
    <col min="7" max="7" width="34.44140625" customWidth="1"/>
  </cols>
  <sheetData>
    <row r="1" spans="2:7" ht="30" customHeight="1">
      <c r="B1" s="106" t="s">
        <v>0</v>
      </c>
    </row>
    <row r="2" spans="2:7" ht="25.5" customHeight="1">
      <c r="B2" s="106" t="s">
        <v>1</v>
      </c>
      <c r="D2" s="107"/>
      <c r="E2" s="107"/>
    </row>
    <row r="3" spans="2:7" ht="12.75" customHeight="1">
      <c r="B3" s="106"/>
      <c r="D3" s="107"/>
      <c r="E3" s="107"/>
    </row>
    <row r="4" spans="2:7" ht="32.25" customHeight="1">
      <c r="B4" s="269" t="s">
        <v>177</v>
      </c>
      <c r="C4" s="269"/>
      <c r="D4" s="269"/>
      <c r="E4" s="269"/>
      <c r="F4" s="269"/>
      <c r="G4" s="269"/>
    </row>
    <row r="5" spans="2:7" ht="31.5" customHeight="1">
      <c r="B5" s="269" t="s">
        <v>239</v>
      </c>
      <c r="C5" s="269"/>
      <c r="D5" s="269"/>
      <c r="E5" s="269"/>
      <c r="F5" s="269"/>
      <c r="G5" s="269"/>
    </row>
    <row r="6" spans="2:7" ht="26.25" customHeight="1">
      <c r="B6" s="270" t="s">
        <v>4</v>
      </c>
      <c r="C6" s="270"/>
      <c r="D6" s="270"/>
      <c r="E6" s="270"/>
      <c r="F6" s="270"/>
      <c r="G6" s="270"/>
    </row>
    <row r="7" spans="2:7" ht="55.5" customHeight="1">
      <c r="B7" s="108" t="s">
        <v>5</v>
      </c>
      <c r="C7" s="109" t="s">
        <v>88</v>
      </c>
      <c r="D7" s="109" t="s">
        <v>6</v>
      </c>
      <c r="E7" s="109" t="s">
        <v>7</v>
      </c>
      <c r="F7" s="109" t="s">
        <v>8</v>
      </c>
      <c r="G7" s="110" t="s">
        <v>9</v>
      </c>
    </row>
    <row r="8" spans="2:7" ht="36.75" customHeight="1">
      <c r="B8" s="313" t="s">
        <v>10</v>
      </c>
      <c r="C8" s="155" t="s">
        <v>240</v>
      </c>
      <c r="D8" s="27">
        <v>669.71</v>
      </c>
      <c r="E8" s="148">
        <v>4.7699999999999996</v>
      </c>
      <c r="F8" s="161">
        <v>4</v>
      </c>
      <c r="G8" s="133"/>
    </row>
    <row r="9" spans="2:7" ht="36.75" customHeight="1">
      <c r="B9" s="313"/>
      <c r="C9" s="155" t="s">
        <v>241</v>
      </c>
      <c r="D9" s="27">
        <v>695.52</v>
      </c>
      <c r="E9" s="148">
        <v>2.7</v>
      </c>
      <c r="F9" s="161">
        <v>1</v>
      </c>
      <c r="G9" s="133"/>
    </row>
    <row r="10" spans="2:7" ht="36.75" customHeight="1">
      <c r="B10" s="313"/>
      <c r="C10" s="155" t="s">
        <v>242</v>
      </c>
      <c r="D10" s="27">
        <v>786.24</v>
      </c>
      <c r="E10" s="148">
        <v>2.7</v>
      </c>
      <c r="F10" s="161">
        <v>1</v>
      </c>
      <c r="G10" s="133"/>
    </row>
    <row r="11" spans="2:7" ht="36.75" customHeight="1">
      <c r="B11" s="313"/>
      <c r="C11" s="155" t="s">
        <v>243</v>
      </c>
      <c r="D11" s="27">
        <v>181.44</v>
      </c>
      <c r="E11" s="148">
        <v>2.7</v>
      </c>
      <c r="F11" s="161">
        <v>1</v>
      </c>
      <c r="G11" s="133"/>
    </row>
    <row r="12" spans="2:7" ht="36.75" customHeight="1">
      <c r="B12" s="313"/>
      <c r="C12" s="155" t="s">
        <v>244</v>
      </c>
      <c r="D12" s="27">
        <v>583.78</v>
      </c>
      <c r="E12" s="148">
        <v>4.7699999999999996</v>
      </c>
      <c r="F12" s="161">
        <v>1</v>
      </c>
      <c r="G12" s="133"/>
    </row>
    <row r="13" spans="2:7" ht="36.75" customHeight="1">
      <c r="B13" s="313"/>
      <c r="C13" s="155" t="s">
        <v>245</v>
      </c>
      <c r="D13" s="27">
        <v>0</v>
      </c>
      <c r="E13" s="148">
        <v>2.7</v>
      </c>
      <c r="F13" s="161">
        <v>1</v>
      </c>
      <c r="G13" s="133"/>
    </row>
    <row r="14" spans="2:7" ht="36.75" customHeight="1">
      <c r="B14" s="313"/>
      <c r="C14" s="155" t="s">
        <v>246</v>
      </c>
      <c r="D14" s="27">
        <v>2381.4</v>
      </c>
      <c r="E14" s="148">
        <v>2.7</v>
      </c>
      <c r="F14" s="161">
        <v>3</v>
      </c>
      <c r="G14" s="133"/>
    </row>
    <row r="15" spans="2:7" ht="36.75" customHeight="1">
      <c r="B15" s="313"/>
      <c r="C15" s="155" t="s">
        <v>247</v>
      </c>
      <c r="D15" s="27">
        <v>373.97</v>
      </c>
      <c r="E15" s="148">
        <v>4.7699999999999996</v>
      </c>
      <c r="F15" s="161">
        <v>1</v>
      </c>
      <c r="G15" s="133"/>
    </row>
    <row r="16" spans="2:7" ht="36.75" customHeight="1">
      <c r="B16" s="313"/>
      <c r="C16" s="155" t="s">
        <v>248</v>
      </c>
      <c r="D16" s="27">
        <v>792.2</v>
      </c>
      <c r="E16" s="148">
        <v>2.7</v>
      </c>
      <c r="F16" s="161">
        <v>6</v>
      </c>
      <c r="G16" s="133"/>
    </row>
    <row r="17" spans="2:7" ht="36.75" customHeight="1">
      <c r="B17" s="313"/>
      <c r="C17" s="155" t="s">
        <v>249</v>
      </c>
      <c r="D17" s="27">
        <v>86.4</v>
      </c>
      <c r="E17" s="148">
        <v>2.7</v>
      </c>
      <c r="F17" s="161">
        <v>1</v>
      </c>
      <c r="G17" s="133"/>
    </row>
    <row r="18" spans="2:7" ht="36.75" customHeight="1">
      <c r="B18" s="313"/>
      <c r="C18" s="155" t="s">
        <v>250</v>
      </c>
      <c r="D18" s="27">
        <v>628.16</v>
      </c>
      <c r="E18" s="148">
        <v>2.7</v>
      </c>
      <c r="F18" s="161">
        <v>9</v>
      </c>
      <c r="G18" s="133"/>
    </row>
    <row r="19" spans="2:7" ht="36.75" customHeight="1">
      <c r="B19" s="313"/>
      <c r="C19" s="155" t="s">
        <v>251</v>
      </c>
      <c r="D19" s="27">
        <v>8300</v>
      </c>
      <c r="E19" s="148">
        <v>6.81</v>
      </c>
      <c r="F19" s="161">
        <v>6</v>
      </c>
      <c r="G19" s="133"/>
    </row>
    <row r="20" spans="2:7" ht="36.75" customHeight="1">
      <c r="B20" s="313"/>
      <c r="C20" s="155" t="s">
        <v>252</v>
      </c>
      <c r="D20" s="27">
        <v>791.35</v>
      </c>
      <c r="E20" s="148">
        <v>4.7699999999999996</v>
      </c>
      <c r="F20" s="161">
        <v>2</v>
      </c>
      <c r="G20" s="133"/>
    </row>
    <row r="21" spans="2:7" ht="36.75" customHeight="1">
      <c r="B21" s="313"/>
      <c r="C21" s="155" t="s">
        <v>253</v>
      </c>
      <c r="D21" s="27">
        <v>228.69</v>
      </c>
      <c r="E21" s="148">
        <v>2.7</v>
      </c>
      <c r="F21" s="161">
        <v>2</v>
      </c>
      <c r="G21" s="133"/>
    </row>
    <row r="22" spans="2:7" ht="36.75" customHeight="1">
      <c r="B22" s="313"/>
      <c r="C22" s="155" t="s">
        <v>254</v>
      </c>
      <c r="D22" s="27">
        <v>1152.9000000000001</v>
      </c>
      <c r="E22" s="148">
        <v>9</v>
      </c>
      <c r="F22" s="161">
        <v>4</v>
      </c>
      <c r="G22" s="133"/>
    </row>
    <row r="23" spans="2:7" ht="36.75" customHeight="1">
      <c r="B23" s="313"/>
      <c r="C23" s="155" t="s">
        <v>254</v>
      </c>
      <c r="D23" s="27">
        <v>0</v>
      </c>
      <c r="E23" s="148">
        <v>2.7</v>
      </c>
      <c r="F23" s="161">
        <v>1</v>
      </c>
      <c r="G23" s="133"/>
    </row>
    <row r="24" spans="2:7" ht="36.75" customHeight="1">
      <c r="B24" s="313"/>
      <c r="C24" s="155" t="s">
        <v>255</v>
      </c>
      <c r="D24" s="27">
        <v>601.02</v>
      </c>
      <c r="E24" s="148">
        <v>4.7699999999999996</v>
      </c>
      <c r="F24" s="161">
        <v>3</v>
      </c>
      <c r="G24" s="133"/>
    </row>
    <row r="25" spans="2:7" ht="36.75" customHeight="1">
      <c r="B25" s="313"/>
      <c r="C25" s="155" t="s">
        <v>256</v>
      </c>
      <c r="D25" s="27">
        <v>146.44</v>
      </c>
      <c r="E25" s="148">
        <v>4.7699999999999996</v>
      </c>
      <c r="F25" s="161">
        <v>2</v>
      </c>
      <c r="G25" s="133"/>
    </row>
    <row r="26" spans="2:7" ht="36.75" customHeight="1">
      <c r="B26" s="313"/>
      <c r="C26" s="155" t="s">
        <v>257</v>
      </c>
      <c r="D26" s="27">
        <v>811.13</v>
      </c>
      <c r="E26" s="148">
        <v>4.7699999999999996</v>
      </c>
      <c r="F26" s="161">
        <v>6</v>
      </c>
      <c r="G26" s="133"/>
    </row>
    <row r="27" spans="2:7" ht="36.75" customHeight="1">
      <c r="B27" s="313"/>
      <c r="C27" s="155" t="s">
        <v>258</v>
      </c>
      <c r="D27" s="27">
        <v>3552.7</v>
      </c>
      <c r="E27" s="148">
        <v>4.7699999999999996</v>
      </c>
      <c r="F27" s="161">
        <v>1</v>
      </c>
      <c r="G27" s="133"/>
    </row>
    <row r="28" spans="2:7" ht="36.75" customHeight="1">
      <c r="B28" s="313"/>
      <c r="C28" s="155" t="s">
        <v>259</v>
      </c>
      <c r="D28" s="27">
        <v>317.44</v>
      </c>
      <c r="E28" s="148">
        <v>4.7699999999999996</v>
      </c>
      <c r="F28" s="161">
        <v>3</v>
      </c>
      <c r="G28" s="133"/>
    </row>
    <row r="29" spans="2:7" ht="36.75" customHeight="1">
      <c r="B29" s="313"/>
      <c r="C29" s="155" t="s">
        <v>260</v>
      </c>
      <c r="D29" s="27">
        <v>175.3</v>
      </c>
      <c r="E29" s="148">
        <v>4.7699999999999996</v>
      </c>
      <c r="F29" s="161">
        <v>1</v>
      </c>
      <c r="G29" s="133"/>
    </row>
    <row r="30" spans="2:7" ht="36.75" customHeight="1">
      <c r="B30" s="313"/>
      <c r="C30" s="155" t="s">
        <v>261</v>
      </c>
      <c r="D30" s="27">
        <v>1068.48</v>
      </c>
      <c r="E30" s="148">
        <v>4.7699999999999996</v>
      </c>
      <c r="F30" s="161">
        <v>2</v>
      </c>
      <c r="G30" s="133"/>
    </row>
    <row r="31" spans="2:7" ht="36.75" customHeight="1">
      <c r="B31" s="313"/>
      <c r="C31" s="155" t="s">
        <v>262</v>
      </c>
      <c r="D31" s="27">
        <v>1180.0999999999999</v>
      </c>
      <c r="E31" s="148">
        <v>4.7699999999999996</v>
      </c>
      <c r="F31" s="161">
        <v>4</v>
      </c>
      <c r="G31" s="133"/>
    </row>
    <row r="32" spans="2:7" ht="36.75" customHeight="1">
      <c r="B32" s="313"/>
      <c r="C32" s="155" t="s">
        <v>263</v>
      </c>
      <c r="D32" s="27">
        <v>670.18</v>
      </c>
      <c r="E32" s="148">
        <v>4.7699999999999996</v>
      </c>
      <c r="F32" s="161">
        <v>4</v>
      </c>
      <c r="G32" s="133"/>
    </row>
    <row r="33" spans="2:7" ht="36.75" customHeight="1">
      <c r="B33" s="313"/>
      <c r="C33" s="155" t="s">
        <v>264</v>
      </c>
      <c r="D33" s="27">
        <v>158.76</v>
      </c>
      <c r="E33" s="148">
        <v>2.7</v>
      </c>
      <c r="F33" s="161">
        <v>2</v>
      </c>
      <c r="G33" s="133"/>
    </row>
    <row r="34" spans="2:7" ht="36.75" customHeight="1">
      <c r="B34" s="313"/>
      <c r="C34" s="155" t="s">
        <v>265</v>
      </c>
      <c r="D34" s="27">
        <v>246.65</v>
      </c>
      <c r="E34" s="148">
        <v>2.7</v>
      </c>
      <c r="F34" s="161">
        <v>2</v>
      </c>
      <c r="G34" s="133"/>
    </row>
    <row r="35" spans="2:7" ht="36.75" customHeight="1">
      <c r="B35" s="313"/>
      <c r="C35" s="155" t="s">
        <v>266</v>
      </c>
      <c r="D35" s="27">
        <v>305.27999999999997</v>
      </c>
      <c r="E35" s="148">
        <v>4.7699999999999996</v>
      </c>
      <c r="F35" s="161">
        <v>2</v>
      </c>
      <c r="G35" s="133"/>
    </row>
    <row r="36" spans="2:7" ht="36.75" customHeight="1">
      <c r="B36" s="313"/>
      <c r="C36" s="155" t="s">
        <v>267</v>
      </c>
      <c r="D36" s="27">
        <v>577.03</v>
      </c>
      <c r="E36" s="148">
        <v>2.7</v>
      </c>
      <c r="F36" s="161">
        <v>4</v>
      </c>
      <c r="G36" s="133"/>
    </row>
    <row r="37" spans="2:7" ht="36.75" customHeight="1">
      <c r="B37" s="313"/>
      <c r="C37" s="155" t="s">
        <v>268</v>
      </c>
      <c r="D37" s="27">
        <v>545.4</v>
      </c>
      <c r="E37" s="148">
        <v>2.7</v>
      </c>
      <c r="F37" s="161">
        <v>5</v>
      </c>
      <c r="G37" s="133"/>
    </row>
    <row r="38" spans="2:7" ht="36.75" customHeight="1">
      <c r="B38" s="313"/>
      <c r="C38" s="155" t="s">
        <v>269</v>
      </c>
      <c r="D38" s="27">
        <v>405.4</v>
      </c>
      <c r="E38" s="148">
        <v>2.7</v>
      </c>
      <c r="F38" s="161">
        <v>7</v>
      </c>
      <c r="G38" s="133"/>
    </row>
    <row r="39" spans="2:7" ht="36.75" customHeight="1">
      <c r="B39" s="313"/>
      <c r="C39" s="155" t="s">
        <v>270</v>
      </c>
      <c r="D39" s="27">
        <v>0</v>
      </c>
      <c r="E39" s="148">
        <v>2.7</v>
      </c>
      <c r="F39" s="161">
        <v>1</v>
      </c>
      <c r="G39" s="133"/>
    </row>
    <row r="40" spans="2:7" ht="36.75" customHeight="1">
      <c r="B40" s="313"/>
      <c r="C40" s="155" t="s">
        <v>271</v>
      </c>
      <c r="D40" s="27">
        <v>2073.6</v>
      </c>
      <c r="E40" s="148">
        <v>2.7</v>
      </c>
      <c r="F40" s="161">
        <v>5</v>
      </c>
      <c r="G40" s="133"/>
    </row>
    <row r="41" spans="2:7" ht="36.75" customHeight="1">
      <c r="B41" s="313"/>
      <c r="C41" s="155" t="s">
        <v>272</v>
      </c>
      <c r="D41" s="27">
        <v>469.8</v>
      </c>
      <c r="E41" s="148">
        <v>2.7</v>
      </c>
      <c r="F41" s="161">
        <v>3</v>
      </c>
      <c r="G41" s="133"/>
    </row>
    <row r="42" spans="2:7" ht="36.75" customHeight="1">
      <c r="B42" s="313"/>
      <c r="C42" s="155" t="s">
        <v>272</v>
      </c>
      <c r="D42" s="27">
        <v>163.80000000000001</v>
      </c>
      <c r="E42" s="148">
        <v>9</v>
      </c>
      <c r="F42" s="161">
        <v>1</v>
      </c>
      <c r="G42" s="133"/>
    </row>
    <row r="43" spans="2:7" ht="36.75" customHeight="1">
      <c r="B43" s="313"/>
      <c r="C43" s="155" t="s">
        <v>273</v>
      </c>
      <c r="D43" s="27">
        <v>4856.67</v>
      </c>
      <c r="E43" s="148">
        <v>6.3</v>
      </c>
      <c r="F43" s="161">
        <v>5</v>
      </c>
      <c r="G43" s="133"/>
    </row>
    <row r="44" spans="2:7" ht="36.75" customHeight="1">
      <c r="B44" s="313"/>
      <c r="C44" s="155" t="s">
        <v>274</v>
      </c>
      <c r="D44" s="27">
        <v>801.36</v>
      </c>
      <c r="E44" s="148">
        <v>4.7699999999999996</v>
      </c>
      <c r="F44" s="161">
        <v>1</v>
      </c>
      <c r="G44" s="133"/>
    </row>
    <row r="45" spans="2:7" ht="36.75" customHeight="1">
      <c r="B45" s="313"/>
      <c r="C45" s="155" t="s">
        <v>275</v>
      </c>
      <c r="D45" s="27">
        <v>801.36</v>
      </c>
      <c r="E45" s="148">
        <v>4.7699999999999996</v>
      </c>
      <c r="F45" s="161">
        <v>1</v>
      </c>
      <c r="G45" s="133"/>
    </row>
    <row r="46" spans="2:7" ht="36.75" customHeight="1">
      <c r="B46" s="313"/>
      <c r="C46" s="155" t="s">
        <v>276</v>
      </c>
      <c r="D46" s="27">
        <v>201.6</v>
      </c>
      <c r="E46" s="148">
        <v>9</v>
      </c>
      <c r="F46" s="161">
        <v>2</v>
      </c>
      <c r="G46" s="133"/>
    </row>
    <row r="47" spans="2:7" ht="36.75" customHeight="1">
      <c r="B47" s="313"/>
      <c r="C47" s="155" t="s">
        <v>276</v>
      </c>
      <c r="D47" s="27">
        <v>58.59</v>
      </c>
      <c r="E47" s="148">
        <v>2.7</v>
      </c>
      <c r="F47" s="161">
        <v>2</v>
      </c>
      <c r="G47" s="133"/>
    </row>
    <row r="48" spans="2:7" ht="36.75" customHeight="1">
      <c r="B48" s="313"/>
      <c r="C48" s="155" t="s">
        <v>277</v>
      </c>
      <c r="D48" s="27">
        <v>0</v>
      </c>
      <c r="E48" s="148">
        <v>2.7</v>
      </c>
      <c r="F48" s="161">
        <v>1</v>
      </c>
      <c r="G48" s="133"/>
    </row>
    <row r="49" spans="2:7" ht="36.75" customHeight="1">
      <c r="B49" s="313"/>
      <c r="C49" s="155" t="s">
        <v>277</v>
      </c>
      <c r="D49" s="27">
        <v>403.2</v>
      </c>
      <c r="E49" s="148">
        <v>9</v>
      </c>
      <c r="F49" s="161">
        <v>1</v>
      </c>
      <c r="G49" s="133"/>
    </row>
    <row r="50" spans="2:7" ht="36.75" customHeight="1">
      <c r="B50" s="313"/>
      <c r="C50" s="155" t="s">
        <v>278</v>
      </c>
      <c r="D50" s="27">
        <v>2033.03</v>
      </c>
      <c r="E50" s="148">
        <v>4.7699999999999996</v>
      </c>
      <c r="F50" s="161">
        <v>3</v>
      </c>
      <c r="G50" s="133"/>
    </row>
    <row r="51" spans="2:7" ht="36.75" customHeight="1">
      <c r="B51" s="313"/>
      <c r="C51" s="155" t="s">
        <v>279</v>
      </c>
      <c r="D51" s="27">
        <v>1652.81</v>
      </c>
      <c r="E51" s="148">
        <v>4.7699999999999996</v>
      </c>
      <c r="F51" s="161">
        <v>1</v>
      </c>
      <c r="G51" s="133"/>
    </row>
    <row r="52" spans="2:7" ht="36.75" customHeight="1">
      <c r="B52" s="313"/>
      <c r="C52" s="155" t="s">
        <v>280</v>
      </c>
      <c r="D52" s="27">
        <v>1927.69</v>
      </c>
      <c r="E52" s="148">
        <v>4.7699999999999996</v>
      </c>
      <c r="F52" s="161">
        <v>2</v>
      </c>
      <c r="G52" s="133"/>
    </row>
    <row r="53" spans="2:7" ht="36.75" customHeight="1">
      <c r="B53" s="313"/>
      <c r="C53" s="155" t="s">
        <v>281</v>
      </c>
      <c r="D53" s="27">
        <v>534.24</v>
      </c>
      <c r="E53" s="148">
        <v>4.7699999999999996</v>
      </c>
      <c r="F53" s="161">
        <v>1</v>
      </c>
      <c r="G53" s="133"/>
    </row>
    <row r="54" spans="2:7" ht="36.75" customHeight="1">
      <c r="B54" s="313"/>
      <c r="C54" s="155" t="s">
        <v>282</v>
      </c>
      <c r="D54" s="27">
        <v>120.96</v>
      </c>
      <c r="E54" s="148">
        <v>2.7</v>
      </c>
      <c r="F54" s="161">
        <v>1</v>
      </c>
      <c r="G54" s="133"/>
    </row>
    <row r="55" spans="2:7" ht="36.75" customHeight="1">
      <c r="B55" s="313"/>
      <c r="C55" s="155" t="s">
        <v>283</v>
      </c>
      <c r="D55" s="27">
        <v>0</v>
      </c>
      <c r="E55" s="148">
        <v>2.7</v>
      </c>
      <c r="F55" s="161">
        <v>1</v>
      </c>
      <c r="G55" s="133"/>
    </row>
    <row r="56" spans="2:7" ht="36.75" customHeight="1">
      <c r="B56" s="313"/>
      <c r="C56" s="155" t="s">
        <v>284</v>
      </c>
      <c r="D56" s="27">
        <v>0</v>
      </c>
      <c r="E56" s="148">
        <v>2.7</v>
      </c>
      <c r="F56" s="161">
        <v>1</v>
      </c>
      <c r="G56" s="133"/>
    </row>
    <row r="57" spans="2:7" ht="36.75" customHeight="1">
      <c r="B57" s="313"/>
      <c r="C57" s="155" t="s">
        <v>285</v>
      </c>
      <c r="D57" s="27">
        <v>0</v>
      </c>
      <c r="E57" s="148">
        <v>2.7</v>
      </c>
      <c r="F57" s="161">
        <v>1</v>
      </c>
      <c r="G57" s="133"/>
    </row>
    <row r="58" spans="2:7" ht="36.75" customHeight="1">
      <c r="B58" s="313"/>
      <c r="C58" s="155" t="s">
        <v>286</v>
      </c>
      <c r="D58" s="27">
        <v>1004.56</v>
      </c>
      <c r="E58" s="148">
        <v>4.7699999999999996</v>
      </c>
      <c r="F58" s="161">
        <v>3</v>
      </c>
      <c r="G58" s="133"/>
    </row>
    <row r="59" spans="2:7" ht="36.75" customHeight="1">
      <c r="B59" s="313"/>
      <c r="C59" s="155" t="s">
        <v>287</v>
      </c>
      <c r="D59" s="27">
        <v>247.86</v>
      </c>
      <c r="E59" s="148">
        <v>2.7</v>
      </c>
      <c r="F59" s="161">
        <v>2</v>
      </c>
      <c r="G59" s="133"/>
    </row>
    <row r="60" spans="2:7" ht="36.75" customHeight="1">
      <c r="B60" s="313"/>
      <c r="C60" s="155" t="s">
        <v>288</v>
      </c>
      <c r="D60" s="27">
        <v>415.53</v>
      </c>
      <c r="E60" s="148">
        <v>2.7</v>
      </c>
      <c r="F60" s="161">
        <v>2</v>
      </c>
      <c r="G60" s="133"/>
    </row>
    <row r="61" spans="2:7" ht="36.75" customHeight="1">
      <c r="B61" s="313"/>
      <c r="C61" s="155" t="s">
        <v>289</v>
      </c>
      <c r="D61" s="27">
        <v>437.89</v>
      </c>
      <c r="E61" s="148">
        <v>4.7699999999999996</v>
      </c>
      <c r="F61" s="161">
        <v>2</v>
      </c>
      <c r="G61" s="133"/>
    </row>
    <row r="62" spans="2:7" ht="25.5" customHeight="1">
      <c r="B62" s="111" t="s">
        <v>53</v>
      </c>
      <c r="C62" s="155"/>
      <c r="D62" s="124">
        <f>SUM(D8:D61)</f>
        <v>46617.619999999981</v>
      </c>
      <c r="E62" s="124">
        <f>SUM(E8:E61)</f>
        <v>224.24999999999997</v>
      </c>
      <c r="F62" s="152">
        <f>SUM(F8:F61)</f>
        <v>135</v>
      </c>
      <c r="G62" s="112"/>
    </row>
    <row r="63" spans="2:7" ht="34.200000000000003" customHeight="1">
      <c r="B63" s="291" t="s">
        <v>54</v>
      </c>
      <c r="C63" s="155" t="s">
        <v>290</v>
      </c>
      <c r="D63" s="27">
        <v>1149.96</v>
      </c>
      <c r="E63" s="148">
        <v>25</v>
      </c>
      <c r="F63" s="161">
        <v>22</v>
      </c>
      <c r="G63" s="156" t="s">
        <v>291</v>
      </c>
    </row>
    <row r="64" spans="2:7" ht="35.4" customHeight="1">
      <c r="B64" s="292"/>
      <c r="C64" s="155" t="s">
        <v>290</v>
      </c>
      <c r="D64" s="27">
        <v>13.64</v>
      </c>
      <c r="E64" s="148">
        <v>4.96</v>
      </c>
      <c r="F64" s="161">
        <v>1</v>
      </c>
      <c r="G64" s="156" t="s">
        <v>291</v>
      </c>
    </row>
    <row r="65" spans="1:10" ht="33" customHeight="1">
      <c r="B65" s="292"/>
      <c r="C65" s="155" t="s">
        <v>292</v>
      </c>
      <c r="D65" s="27">
        <v>32.4</v>
      </c>
      <c r="E65" s="148">
        <v>6.2</v>
      </c>
      <c r="F65" s="161">
        <v>2</v>
      </c>
      <c r="G65" s="156" t="s">
        <v>291</v>
      </c>
    </row>
    <row r="66" spans="1:10" ht="36.6" customHeight="1">
      <c r="B66" s="292"/>
      <c r="C66" s="155" t="s">
        <v>293</v>
      </c>
      <c r="D66" s="27">
        <v>13.15</v>
      </c>
      <c r="E66" s="148">
        <v>4.96</v>
      </c>
      <c r="F66" s="161">
        <v>1</v>
      </c>
      <c r="G66" s="156" t="s">
        <v>291</v>
      </c>
    </row>
    <row r="67" spans="1:10" ht="35.4" customHeight="1">
      <c r="B67" s="292"/>
      <c r="C67" s="155" t="s">
        <v>293</v>
      </c>
      <c r="D67" s="27">
        <v>548.48</v>
      </c>
      <c r="E67" s="148">
        <v>25</v>
      </c>
      <c r="F67" s="161">
        <v>17</v>
      </c>
      <c r="G67" s="156" t="s">
        <v>291</v>
      </c>
    </row>
    <row r="68" spans="1:10" ht="25.5" customHeight="1">
      <c r="B68" s="114" t="s">
        <v>53</v>
      </c>
      <c r="C68" s="114"/>
      <c r="D68" s="124">
        <f>SUM(D63:D67)</f>
        <v>1757.6300000000003</v>
      </c>
      <c r="E68" s="124">
        <f>SUM(E63:E67)</f>
        <v>66.12</v>
      </c>
      <c r="F68" s="152">
        <f>SUM(F63:F67)</f>
        <v>43</v>
      </c>
      <c r="G68" s="112"/>
      <c r="H68" s="113"/>
      <c r="I68" s="113"/>
      <c r="J68" s="113"/>
    </row>
    <row r="69" spans="1:10" ht="31.5" customHeight="1">
      <c r="B69" s="316" t="s">
        <v>58</v>
      </c>
      <c r="C69" s="316"/>
      <c r="D69" s="316"/>
      <c r="E69" s="316"/>
      <c r="F69" s="316"/>
      <c r="G69" s="317"/>
    </row>
    <row r="70" spans="1:10" ht="53.25" customHeight="1">
      <c r="A70" s="12"/>
      <c r="B70" s="109" t="s">
        <v>5</v>
      </c>
      <c r="C70" s="109" t="s">
        <v>59</v>
      </c>
      <c r="D70" s="109" t="s">
        <v>6</v>
      </c>
      <c r="E70" s="109" t="s">
        <v>60</v>
      </c>
      <c r="F70" s="109" t="s">
        <v>8</v>
      </c>
      <c r="G70" s="110" t="s">
        <v>61</v>
      </c>
    </row>
    <row r="71" spans="1:10" ht="33" customHeight="1">
      <c r="B71" s="13" t="s">
        <v>62</v>
      </c>
      <c r="C71" s="115"/>
      <c r="D71" s="27">
        <v>0</v>
      </c>
      <c r="E71" s="27">
        <v>0</v>
      </c>
      <c r="F71" s="116">
        <v>0</v>
      </c>
      <c r="G71" s="135" t="s">
        <v>84</v>
      </c>
    </row>
    <row r="72" spans="1:10" ht="24.75" customHeight="1">
      <c r="B72" s="117" t="s">
        <v>53</v>
      </c>
      <c r="C72" s="118"/>
      <c r="D72" s="32">
        <f>SUM(D71)</f>
        <v>0</v>
      </c>
      <c r="E72" s="32">
        <f>SUM(E71)</f>
        <v>0</v>
      </c>
      <c r="F72" s="382">
        <f>SUM(F71)</f>
        <v>0</v>
      </c>
      <c r="G72" s="16"/>
    </row>
    <row r="73" spans="1:10" ht="28.5" customHeight="1">
      <c r="B73" s="19" t="s">
        <v>63</v>
      </c>
      <c r="C73" s="157" t="s">
        <v>294</v>
      </c>
      <c r="D73" s="27">
        <v>2560</v>
      </c>
      <c r="E73" s="27">
        <v>2763</v>
      </c>
      <c r="F73" s="158">
        <v>56</v>
      </c>
      <c r="G73" s="16"/>
    </row>
    <row r="74" spans="1:10" ht="29.25" customHeight="1">
      <c r="B74" s="117" t="s">
        <v>53</v>
      </c>
      <c r="C74" s="118"/>
      <c r="D74" s="124">
        <f>SUM(D73)</f>
        <v>2560</v>
      </c>
      <c r="E74" s="124">
        <f>SUM(E73)</f>
        <v>2763</v>
      </c>
      <c r="F74" s="159">
        <f>SUM(F73)</f>
        <v>56</v>
      </c>
      <c r="G74" s="16"/>
    </row>
    <row r="75" spans="1:10" ht="24" customHeight="1">
      <c r="B75" s="13" t="s">
        <v>64</v>
      </c>
      <c r="C75" s="115"/>
      <c r="D75" s="27">
        <v>0</v>
      </c>
      <c r="E75" s="27">
        <v>0</v>
      </c>
      <c r="F75" s="116">
        <v>0</v>
      </c>
      <c r="G75" s="135" t="s">
        <v>84</v>
      </c>
    </row>
    <row r="76" spans="1:10" ht="27" customHeight="1">
      <c r="B76" s="117" t="s">
        <v>53</v>
      </c>
      <c r="C76" s="118"/>
      <c r="D76" s="32">
        <f>SUM(D75)</f>
        <v>0</v>
      </c>
      <c r="E76" s="32">
        <f>SUM(E75)</f>
        <v>0</v>
      </c>
      <c r="F76" s="382">
        <f>SUM(F75)</f>
        <v>0</v>
      </c>
      <c r="G76" s="16"/>
    </row>
    <row r="77" spans="1:10" ht="27" customHeight="1">
      <c r="B77" s="13" t="s">
        <v>65</v>
      </c>
      <c r="C77" s="157" t="s">
        <v>295</v>
      </c>
      <c r="D77" s="31">
        <v>9262</v>
      </c>
      <c r="E77" s="27">
        <v>23172.080000000002</v>
      </c>
      <c r="F77" s="161">
        <v>1</v>
      </c>
      <c r="G77" s="160"/>
    </row>
    <row r="78" spans="1:10" ht="16.5" customHeight="1">
      <c r="B78" s="117" t="s">
        <v>53</v>
      </c>
      <c r="C78" s="118"/>
      <c r="D78" s="124">
        <f>SUM(D77)</f>
        <v>9262</v>
      </c>
      <c r="E78" s="124">
        <f>SUM(E77)</f>
        <v>23172.080000000002</v>
      </c>
      <c r="F78" s="144">
        <f>SUM(F77)</f>
        <v>1</v>
      </c>
      <c r="G78" s="16"/>
    </row>
    <row r="79" spans="1:10" ht="30.75" customHeight="1">
      <c r="B79" s="13" t="s">
        <v>73</v>
      </c>
      <c r="C79" s="120"/>
      <c r="D79" s="27">
        <v>0</v>
      </c>
      <c r="E79" s="27">
        <v>0</v>
      </c>
      <c r="F79" s="116">
        <v>0</v>
      </c>
      <c r="G79" s="135" t="s">
        <v>84</v>
      </c>
    </row>
    <row r="80" spans="1:10" ht="15.6">
      <c r="B80" s="117" t="s">
        <v>53</v>
      </c>
      <c r="C80" s="118"/>
      <c r="D80" s="32">
        <f>SUM(D79)</f>
        <v>0</v>
      </c>
      <c r="E80" s="32">
        <f>SUM(E79)</f>
        <v>0</v>
      </c>
      <c r="F80" s="382">
        <f>SUM(F79)</f>
        <v>0</v>
      </c>
      <c r="G80" s="16"/>
    </row>
    <row r="81" spans="2:7" ht="17.25" customHeight="1">
      <c r="B81" s="315"/>
      <c r="C81" s="315"/>
      <c r="D81" s="315"/>
      <c r="E81" s="315"/>
      <c r="F81" s="315"/>
      <c r="G81" s="315"/>
    </row>
    <row r="82" spans="2:7" ht="33" customHeight="1">
      <c r="B82" s="114" t="s">
        <v>174</v>
      </c>
      <c r="C82" s="118"/>
      <c r="D82" s="125">
        <f>SUM(D62+D68+D72+D74+D76+D78+D80)</f>
        <v>60197.249999999978</v>
      </c>
      <c r="E82" s="125">
        <f>SUM(E62+E68+E72+E74+E76+E78+E80)</f>
        <v>26225.45</v>
      </c>
      <c r="F82" s="127">
        <f>SUM(F62+F68+F72+F74+F76+F78+F80)</f>
        <v>235</v>
      </c>
      <c r="G82" s="16"/>
    </row>
    <row r="83" spans="2:7">
      <c r="B83" s="80"/>
      <c r="C83" s="81"/>
      <c r="D83" s="81"/>
      <c r="E83" s="81"/>
      <c r="F83" s="81"/>
    </row>
    <row r="84" spans="2:7">
      <c r="B84" s="80"/>
      <c r="C84" s="81"/>
      <c r="D84" s="81"/>
      <c r="E84" s="81"/>
      <c r="F84" s="81"/>
    </row>
    <row r="85" spans="2:7">
      <c r="B85" s="82" t="s">
        <v>299</v>
      </c>
    </row>
    <row r="86" spans="2:7">
      <c r="B86" s="82"/>
    </row>
    <row r="87" spans="2:7">
      <c r="B87" s="83" t="s">
        <v>296</v>
      </c>
    </row>
    <row r="88" spans="2:7">
      <c r="B88" s="83" t="s">
        <v>297</v>
      </c>
    </row>
    <row r="89" spans="2:7">
      <c r="B89" s="83" t="s">
        <v>298</v>
      </c>
    </row>
    <row r="90" spans="2:7">
      <c r="B90" s="84"/>
    </row>
    <row r="91" spans="2:7">
      <c r="B91" t="s">
        <v>75</v>
      </c>
    </row>
    <row r="92" spans="2:7">
      <c r="B92" s="305"/>
      <c r="C92" s="305"/>
      <c r="D92" s="305"/>
    </row>
    <row r="93" spans="2:7" ht="15.75" customHeight="1">
      <c r="B93" t="s">
        <v>83</v>
      </c>
    </row>
  </sheetData>
  <mergeCells count="8">
    <mergeCell ref="B81:G81"/>
    <mergeCell ref="B92:D92"/>
    <mergeCell ref="B4:G4"/>
    <mergeCell ref="B5:G5"/>
    <mergeCell ref="B6:G6"/>
    <mergeCell ref="B8:B61"/>
    <mergeCell ref="B63:B67"/>
    <mergeCell ref="B69:G69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8C8373-5432-49ED-B032-FD6E602A5BCF}">
  <dimension ref="A1:J77"/>
  <sheetViews>
    <sheetView topLeftCell="A61" workbookViewId="0">
      <selection activeCell="F67" sqref="F67"/>
    </sheetView>
  </sheetViews>
  <sheetFormatPr defaultColWidth="9.109375" defaultRowHeight="14.4"/>
  <cols>
    <col min="1" max="1" width="3.44140625" customWidth="1"/>
    <col min="2" max="2" width="45.109375" customWidth="1"/>
    <col min="3" max="3" width="40.44140625" customWidth="1"/>
    <col min="4" max="4" width="16.5546875" customWidth="1"/>
    <col min="5" max="5" width="24.88671875" customWidth="1"/>
    <col min="6" max="6" width="15.44140625" customWidth="1"/>
    <col min="7" max="7" width="35.44140625" customWidth="1"/>
  </cols>
  <sheetData>
    <row r="1" spans="2:7" ht="30" customHeight="1">
      <c r="B1" s="1" t="s">
        <v>0</v>
      </c>
    </row>
    <row r="2" spans="2:7" ht="25.5" customHeight="1">
      <c r="B2" s="1" t="s">
        <v>1</v>
      </c>
      <c r="D2" s="2"/>
      <c r="E2" s="2"/>
    </row>
    <row r="3" spans="2:7" ht="12.75" customHeight="1">
      <c r="B3" s="1"/>
      <c r="D3" s="2"/>
      <c r="E3" s="2"/>
    </row>
    <row r="4" spans="2:7" ht="32.25" customHeight="1">
      <c r="B4" s="310" t="s">
        <v>86</v>
      </c>
      <c r="C4" s="310"/>
      <c r="D4" s="310"/>
      <c r="E4" s="310"/>
      <c r="F4" s="310"/>
      <c r="G4" s="310"/>
    </row>
    <row r="5" spans="2:7" ht="31.5" customHeight="1">
      <c r="B5" s="310" t="s">
        <v>87</v>
      </c>
      <c r="C5" s="310"/>
      <c r="D5" s="310"/>
      <c r="E5" s="310"/>
      <c r="F5" s="310"/>
      <c r="G5" s="310"/>
    </row>
    <row r="6" spans="2:7" ht="26.25" customHeight="1">
      <c r="B6" s="311" t="s">
        <v>4</v>
      </c>
      <c r="C6" s="311"/>
      <c r="D6" s="311"/>
      <c r="E6" s="311"/>
      <c r="F6" s="311"/>
      <c r="G6" s="311"/>
    </row>
    <row r="7" spans="2:7" ht="78" customHeight="1">
      <c r="B7" s="3" t="s">
        <v>5</v>
      </c>
      <c r="C7" s="52" t="s">
        <v>88</v>
      </c>
      <c r="D7" s="52" t="s">
        <v>6</v>
      </c>
      <c r="E7" s="52" t="s">
        <v>7</v>
      </c>
      <c r="F7" s="52" t="s">
        <v>8</v>
      </c>
      <c r="G7" s="53" t="s">
        <v>9</v>
      </c>
    </row>
    <row r="8" spans="2:7" ht="25.5" customHeight="1" thickBot="1">
      <c r="B8" s="318" t="s">
        <v>10</v>
      </c>
      <c r="C8" s="319" t="s">
        <v>89</v>
      </c>
      <c r="D8" s="321">
        <f>189+274.05+274.5+302.4+37.8+815.62+167.4+82.35+607.5+49.95+94.5+985.5</f>
        <v>3880.5699999999997</v>
      </c>
      <c r="E8" s="77">
        <f>15*0.3</f>
        <v>4.5</v>
      </c>
      <c r="F8" s="94">
        <v>10</v>
      </c>
      <c r="G8" s="86"/>
    </row>
    <row r="9" spans="2:7" ht="33.75" customHeight="1">
      <c r="B9" s="318"/>
      <c r="C9" s="320"/>
      <c r="D9" s="322"/>
      <c r="E9" s="77">
        <f>6*0.3</f>
        <v>1.7999999999999998</v>
      </c>
      <c r="F9" s="94">
        <v>1</v>
      </c>
      <c r="G9" s="86"/>
    </row>
    <row r="10" spans="2:7" ht="41.4">
      <c r="B10" s="318"/>
      <c r="C10" s="86" t="s">
        <v>90</v>
      </c>
      <c r="D10" s="77">
        <f>200+708.75+315+1192.5+380.19+54+617.63+496.8+577.8+180.9+40.5</f>
        <v>4764.07</v>
      </c>
      <c r="E10" s="77">
        <f>15*0.3</f>
        <v>4.5</v>
      </c>
      <c r="F10" s="94">
        <v>10</v>
      </c>
      <c r="G10" s="86"/>
    </row>
    <row r="11" spans="2:7" ht="41.4">
      <c r="B11" s="318"/>
      <c r="C11" s="86" t="s">
        <v>91</v>
      </c>
      <c r="D11" s="77">
        <f>459.9+153+90.3+225.9+27</f>
        <v>956.09999999999991</v>
      </c>
      <c r="E11" s="77">
        <f>10*0.3</f>
        <v>3</v>
      </c>
      <c r="F11" s="94">
        <v>4</v>
      </c>
      <c r="G11" s="86"/>
    </row>
    <row r="12" spans="2:7" ht="25.5" customHeight="1" thickBot="1">
      <c r="B12" s="318"/>
      <c r="C12" s="323" t="s">
        <v>92</v>
      </c>
      <c r="D12" s="325">
        <f>65.1+338.1+558.6+294.84+390.6+18+141.75+180+189+111.24+124.88+123.3+73.44</f>
        <v>2608.8500000000004</v>
      </c>
      <c r="E12" s="77">
        <f>10*0.3</f>
        <v>3</v>
      </c>
      <c r="F12" s="94">
        <v>9</v>
      </c>
      <c r="G12" s="86"/>
    </row>
    <row r="13" spans="2:7">
      <c r="B13" s="318"/>
      <c r="C13" s="324"/>
      <c r="D13" s="326"/>
      <c r="E13" s="77">
        <f>6*0.3</f>
        <v>1.7999999999999998</v>
      </c>
      <c r="F13" s="94">
        <v>3</v>
      </c>
      <c r="G13" s="86"/>
    </row>
    <row r="14" spans="2:7" ht="25.5" customHeight="1" thickBot="1">
      <c r="B14" s="318"/>
      <c r="C14" s="323" t="s">
        <v>93</v>
      </c>
      <c r="D14" s="325">
        <f>157.5+63+78.75+22.32+96.6+781.2+202.5+66.6+83.7+45.9+27.9+32.63+457.5+16.74+16.74</f>
        <v>2149.58</v>
      </c>
      <c r="E14" s="77">
        <f>10*0.3</f>
        <v>3</v>
      </c>
      <c r="F14" s="94">
        <v>9</v>
      </c>
      <c r="G14" s="86"/>
    </row>
    <row r="15" spans="2:7" ht="15" thickBot="1">
      <c r="B15" s="318"/>
      <c r="C15" s="327"/>
      <c r="D15" s="328"/>
      <c r="E15" s="77">
        <v>6</v>
      </c>
      <c r="F15" s="94">
        <v>2</v>
      </c>
      <c r="G15" s="88"/>
    </row>
    <row r="16" spans="2:7" ht="15" thickBot="1">
      <c r="B16" s="318"/>
      <c r="C16" s="327"/>
      <c r="D16" s="328"/>
      <c r="E16" s="77">
        <f>6*0.3</f>
        <v>1.7999999999999998</v>
      </c>
      <c r="F16" s="94">
        <v>3</v>
      </c>
      <c r="G16" s="87"/>
    </row>
    <row r="17" spans="2:7" ht="30.75" customHeight="1">
      <c r="B17" s="318"/>
      <c r="C17" s="324"/>
      <c r="D17" s="326"/>
      <c r="E17" s="93">
        <v>15</v>
      </c>
      <c r="F17" s="100">
        <v>1</v>
      </c>
      <c r="G17" s="91"/>
    </row>
    <row r="18" spans="2:7" ht="38.25" customHeight="1" thickBot="1">
      <c r="B18" s="318"/>
      <c r="C18" s="329" t="s">
        <v>94</v>
      </c>
      <c r="D18" s="325">
        <f>37.8+35.1+55.8+17.28+180+21.6+34.02+22.68+405+16.2</f>
        <v>825.48</v>
      </c>
      <c r="E18" s="77">
        <f>6*0.3</f>
        <v>1.7999999999999998</v>
      </c>
      <c r="F18" s="94">
        <v>8</v>
      </c>
      <c r="G18" s="87"/>
    </row>
    <row r="19" spans="2:7" ht="36.75" customHeight="1">
      <c r="B19" s="318"/>
      <c r="C19" s="330"/>
      <c r="D19" s="326"/>
      <c r="E19" s="93">
        <v>15</v>
      </c>
      <c r="F19" s="100">
        <v>1</v>
      </c>
      <c r="G19" s="91"/>
    </row>
    <row r="20" spans="2:7" ht="38.25" customHeight="1" thickBot="1">
      <c r="B20" s="318"/>
      <c r="C20" s="323" t="s">
        <v>95</v>
      </c>
      <c r="D20" s="325">
        <f>40.2+81.9+142.8+153-4.32+1505.7+88.2+69.3+135+29.7+36+85.05+565.2+52.2+22.68+102.6</f>
        <v>3105.21</v>
      </c>
      <c r="E20" s="92">
        <f>10*0.3</f>
        <v>3</v>
      </c>
      <c r="F20" s="101">
        <v>11</v>
      </c>
      <c r="G20" s="89"/>
    </row>
    <row r="21" spans="2:7" ht="38.25" customHeight="1" thickBot="1">
      <c r="B21" s="318"/>
      <c r="C21" s="327"/>
      <c r="D21" s="328"/>
      <c r="E21" s="77">
        <f>6*0.3</f>
        <v>1.7999999999999998</v>
      </c>
      <c r="F21" s="94">
        <v>1</v>
      </c>
      <c r="G21" s="86"/>
    </row>
    <row r="22" spans="2:7" ht="41.25" customHeight="1">
      <c r="B22" s="318"/>
      <c r="C22" s="324"/>
      <c r="D22" s="326"/>
      <c r="E22" s="93">
        <v>15</v>
      </c>
      <c r="F22" s="100">
        <v>1</v>
      </c>
      <c r="G22" s="91"/>
    </row>
    <row r="23" spans="2:7" ht="25.5" customHeight="1" thickBot="1">
      <c r="B23" s="318"/>
      <c r="C23" s="323" t="s">
        <v>96</v>
      </c>
      <c r="D23" s="325">
        <f>130.2+23.76+210+59.92+22.68+72+18.36+41.85+103.95+57.6</f>
        <v>740.32</v>
      </c>
      <c r="E23" s="77">
        <f>10*0.3</f>
        <v>3</v>
      </c>
      <c r="F23" s="94">
        <v>3</v>
      </c>
      <c r="G23" s="86"/>
    </row>
    <row r="24" spans="2:7" ht="15" thickBot="1">
      <c r="B24" s="318"/>
      <c r="C24" s="327"/>
      <c r="D24" s="328"/>
      <c r="E24" s="77">
        <v>6</v>
      </c>
      <c r="F24" s="94">
        <v>3</v>
      </c>
      <c r="G24" s="88"/>
    </row>
    <row r="25" spans="2:7">
      <c r="B25" s="318"/>
      <c r="C25" s="324"/>
      <c r="D25" s="326"/>
      <c r="E25" s="93">
        <f>6*0.3</f>
        <v>1.7999999999999998</v>
      </c>
      <c r="F25" s="100">
        <v>4</v>
      </c>
      <c r="G25" s="86"/>
    </row>
    <row r="26" spans="2:7">
      <c r="B26" s="318"/>
      <c r="C26" s="331" t="s">
        <v>97</v>
      </c>
      <c r="D26" s="333">
        <f>204.12+13.25+72+57.6</f>
        <v>346.97</v>
      </c>
      <c r="E26" s="77">
        <f>10*0.3</f>
        <v>3</v>
      </c>
      <c r="F26" s="94">
        <v>2</v>
      </c>
      <c r="G26" s="86"/>
    </row>
    <row r="27" spans="2:7" ht="59.4" customHeight="1">
      <c r="B27" s="318"/>
      <c r="C27" s="332"/>
      <c r="D27" s="334"/>
      <c r="E27" s="93">
        <f>6*0.3</f>
        <v>1.7999999999999998</v>
      </c>
      <c r="F27" s="100">
        <v>2</v>
      </c>
      <c r="G27" s="86"/>
    </row>
    <row r="28" spans="2:7" ht="25.5" customHeight="1" thickBot="1">
      <c r="B28" s="318"/>
      <c r="C28" s="323" t="s">
        <v>98</v>
      </c>
      <c r="D28" s="325">
        <f>764.82+120+18+164.43+17.82+164.43+398.7+151.2</f>
        <v>1799.4</v>
      </c>
      <c r="E28" s="77">
        <f>10*0.3</f>
        <v>3</v>
      </c>
      <c r="F28" s="94">
        <v>5</v>
      </c>
      <c r="G28" s="86"/>
    </row>
    <row r="29" spans="2:7" ht="63.6" customHeight="1">
      <c r="B29" s="318"/>
      <c r="C29" s="324"/>
      <c r="D29" s="326"/>
      <c r="E29" s="77">
        <f>6*0.3</f>
        <v>1.7999999999999998</v>
      </c>
      <c r="F29" s="34">
        <v>3</v>
      </c>
      <c r="G29" s="86"/>
    </row>
    <row r="30" spans="2:7" ht="63" customHeight="1">
      <c r="B30" s="318"/>
      <c r="C30" s="86" t="s">
        <v>99</v>
      </c>
      <c r="D30" s="77">
        <f>51.3+324+552.3+119.7+193.2+147+171.6+27+750+66+245.7+108+459+89.1+120.6</f>
        <v>3424.4999999999995</v>
      </c>
      <c r="E30" s="77">
        <f>10*0.3</f>
        <v>3</v>
      </c>
      <c r="F30" s="94">
        <v>11</v>
      </c>
      <c r="G30" s="86"/>
    </row>
    <row r="31" spans="2:7" ht="41.4">
      <c r="B31" s="318"/>
      <c r="C31" s="86" t="s">
        <v>100</v>
      </c>
      <c r="D31" s="77">
        <f>283.5+198.45+1286.33+1275.75+101+125.55+604.13+546.75+87.75</f>
        <v>4509.21</v>
      </c>
      <c r="E31" s="77">
        <f>15*0.3</f>
        <v>4.5</v>
      </c>
      <c r="F31" s="94">
        <v>9</v>
      </c>
      <c r="G31" s="86"/>
    </row>
    <row r="32" spans="2:7" ht="25.5" customHeight="1" thickBot="1">
      <c r="B32" s="318"/>
      <c r="C32" s="323" t="s">
        <v>101</v>
      </c>
      <c r="D32" s="325">
        <f>1140.3+120+70.56+32.76+360+28.08+17.28+425.7</f>
        <v>2194.6799999999998</v>
      </c>
      <c r="E32" s="77">
        <f>10*0.3</f>
        <v>3</v>
      </c>
      <c r="F32" s="94">
        <v>4</v>
      </c>
      <c r="G32" s="86"/>
    </row>
    <row r="33" spans="2:10">
      <c r="B33" s="318"/>
      <c r="C33" s="324"/>
      <c r="D33" s="326"/>
      <c r="E33" s="93">
        <f>6*0.3</f>
        <v>1.7999999999999998</v>
      </c>
      <c r="F33" s="100">
        <v>4</v>
      </c>
      <c r="G33" s="86"/>
    </row>
    <row r="34" spans="2:10" ht="39" customHeight="1" thickBot="1">
      <c r="B34" s="318"/>
      <c r="C34" s="323" t="s">
        <v>102</v>
      </c>
      <c r="D34" s="325">
        <f>37.8+36.54+126+180+75.6+16.2</f>
        <v>472.14000000000004</v>
      </c>
      <c r="E34" s="92">
        <f>6*0.3</f>
        <v>1.7999999999999998</v>
      </c>
      <c r="F34" s="101">
        <v>5</v>
      </c>
      <c r="G34" s="89"/>
    </row>
    <row r="35" spans="2:10" ht="33.75" customHeight="1">
      <c r="B35" s="318"/>
      <c r="C35" s="336"/>
      <c r="D35" s="337"/>
      <c r="E35" s="98">
        <v>15</v>
      </c>
      <c r="F35" s="102">
        <v>1</v>
      </c>
      <c r="G35" s="95"/>
    </row>
    <row r="36" spans="2:10" ht="25.5" customHeight="1" thickBot="1">
      <c r="B36" s="318"/>
      <c r="C36" s="338" t="s">
        <v>103</v>
      </c>
      <c r="D36" s="339">
        <f>63-18.6+75.6+285.6+79.32+373.5+126+78.3+30.6+74.25+27.9+118.8+54+22.68+16.74+15.12+17.28</f>
        <v>1440.09</v>
      </c>
      <c r="E36" s="99">
        <f>10*0.3</f>
        <v>3</v>
      </c>
      <c r="F36" s="103">
        <v>8</v>
      </c>
      <c r="G36" s="96"/>
    </row>
    <row r="37" spans="2:10" ht="15" thickBot="1">
      <c r="B37" s="318"/>
      <c r="C37" s="327"/>
      <c r="D37" s="328"/>
      <c r="E37" s="77">
        <v>6</v>
      </c>
      <c r="F37" s="94">
        <v>4</v>
      </c>
      <c r="G37" s="88"/>
    </row>
    <row r="38" spans="2:10">
      <c r="B38" s="318"/>
      <c r="C38" s="324"/>
      <c r="D38" s="326"/>
      <c r="E38" s="77">
        <f>6*0.3</f>
        <v>1.7999999999999998</v>
      </c>
      <c r="F38" s="94">
        <v>5</v>
      </c>
      <c r="G38" s="86"/>
    </row>
    <row r="39" spans="2:10" ht="55.2">
      <c r="B39" s="318"/>
      <c r="C39" s="86" t="s">
        <v>104</v>
      </c>
      <c r="D39" s="77">
        <f>40.8+78.75+54.6+29.7+48.6</f>
        <v>252.45</v>
      </c>
      <c r="E39" s="77">
        <f>6*0.3</f>
        <v>1.7999999999999998</v>
      </c>
      <c r="F39" s="94">
        <v>5</v>
      </c>
      <c r="G39" s="86"/>
    </row>
    <row r="40" spans="2:10" ht="41.4">
      <c r="B40" s="318"/>
      <c r="C40" s="86" t="s">
        <v>105</v>
      </c>
      <c r="D40" s="77">
        <f>58.59+78.3+37.8+97.65+16.2+41.18+51.03</f>
        <v>380.75</v>
      </c>
      <c r="E40" s="77">
        <f>6*0.3</f>
        <v>1.7999999999999998</v>
      </c>
      <c r="F40" s="94">
        <v>6</v>
      </c>
      <c r="G40" s="86"/>
    </row>
    <row r="41" spans="2:10" ht="25.5" customHeight="1" thickBot="1">
      <c r="B41" s="318"/>
      <c r="C41" s="323" t="s">
        <v>106</v>
      </c>
      <c r="D41" s="325">
        <f>63+286.65+23.76+210+82.35+109.8</f>
        <v>775.56</v>
      </c>
      <c r="E41" s="77">
        <f>10*0.3</f>
        <v>3</v>
      </c>
      <c r="F41" s="94">
        <v>3</v>
      </c>
      <c r="G41" s="86"/>
    </row>
    <row r="42" spans="2:10" ht="15" thickBot="1">
      <c r="B42" s="318"/>
      <c r="C42" s="327"/>
      <c r="D42" s="328"/>
      <c r="E42" s="77">
        <v>6</v>
      </c>
      <c r="F42" s="94">
        <v>2</v>
      </c>
      <c r="G42" s="90"/>
    </row>
    <row r="43" spans="2:10">
      <c r="B43" s="318"/>
      <c r="C43" s="324"/>
      <c r="D43" s="326"/>
      <c r="E43" s="77">
        <f>6*0.3</f>
        <v>1.7999999999999998</v>
      </c>
      <c r="F43" s="94">
        <v>1</v>
      </c>
      <c r="G43" s="86"/>
    </row>
    <row r="44" spans="2:10" ht="63" customHeight="1">
      <c r="B44" s="318"/>
      <c r="C44" s="91" t="s">
        <v>107</v>
      </c>
      <c r="D44" s="93">
        <f>158.1+280.35+63+84+16.5+33.75+47.7+121.5</f>
        <v>804.90000000000009</v>
      </c>
      <c r="E44" s="93">
        <f>10*0.3</f>
        <v>3</v>
      </c>
      <c r="F44" s="100">
        <v>8</v>
      </c>
      <c r="G44" s="91"/>
    </row>
    <row r="45" spans="2:10" ht="25.5" customHeight="1">
      <c r="B45" s="9" t="s">
        <v>53</v>
      </c>
      <c r="C45" s="54"/>
      <c r="D45" s="55">
        <f>SUM(D8:D44)</f>
        <v>35430.829999999994</v>
      </c>
      <c r="E45" s="55">
        <f>SUM(E8:E44)</f>
        <v>158.70000000000005</v>
      </c>
      <c r="F45" s="56">
        <f>SUM(F8:F44)</f>
        <v>172</v>
      </c>
      <c r="G45" s="57"/>
    </row>
    <row r="46" spans="2:10" ht="36" customHeight="1">
      <c r="B46" s="313" t="s">
        <v>54</v>
      </c>
      <c r="C46" s="58" t="s">
        <v>108</v>
      </c>
      <c r="D46" s="59">
        <v>157.4</v>
      </c>
      <c r="E46" s="60">
        <v>25</v>
      </c>
      <c r="F46" s="61">
        <v>6</v>
      </c>
      <c r="G46" s="62" t="s">
        <v>109</v>
      </c>
    </row>
    <row r="47" spans="2:10" ht="41.25" customHeight="1">
      <c r="B47" s="313"/>
      <c r="C47" s="63" t="s">
        <v>110</v>
      </c>
      <c r="D47" s="64">
        <v>566.5</v>
      </c>
      <c r="E47" s="64">
        <v>37</v>
      </c>
      <c r="F47" s="65">
        <v>4</v>
      </c>
      <c r="G47" s="66" t="s">
        <v>109</v>
      </c>
    </row>
    <row r="48" spans="2:10" ht="37.5" customHeight="1">
      <c r="B48" s="313"/>
      <c r="C48" s="6" t="s">
        <v>111</v>
      </c>
      <c r="D48" s="59">
        <v>224.5</v>
      </c>
      <c r="E48" s="60">
        <v>37</v>
      </c>
      <c r="F48" s="61">
        <v>6</v>
      </c>
      <c r="G48" s="66" t="s">
        <v>109</v>
      </c>
      <c r="H48" s="10"/>
      <c r="I48" s="10"/>
      <c r="J48" s="10"/>
    </row>
    <row r="49" spans="1:10" ht="25.5" customHeight="1">
      <c r="B49" s="11" t="s">
        <v>53</v>
      </c>
      <c r="C49" s="67"/>
      <c r="D49" s="68">
        <f>SUM(D46:D48)</f>
        <v>948.4</v>
      </c>
      <c r="E49" s="68">
        <f>SUM(E46:E48)</f>
        <v>99</v>
      </c>
      <c r="F49" s="69">
        <f>SUM(F46:F48)</f>
        <v>16</v>
      </c>
      <c r="G49" s="8"/>
      <c r="H49" s="10"/>
      <c r="I49" s="10"/>
      <c r="J49" s="10"/>
    </row>
    <row r="50" spans="1:10" ht="31.5" customHeight="1">
      <c r="B50" s="314" t="s">
        <v>58</v>
      </c>
      <c r="C50" s="314"/>
      <c r="D50" s="314"/>
      <c r="E50" s="314"/>
      <c r="F50" s="314"/>
      <c r="G50" s="314"/>
    </row>
    <row r="51" spans="1:10" ht="53.25" customHeight="1">
      <c r="A51" s="12"/>
      <c r="B51" s="4" t="s">
        <v>5</v>
      </c>
      <c r="C51" s="4" t="s">
        <v>59</v>
      </c>
      <c r="D51" s="4" t="s">
        <v>6</v>
      </c>
      <c r="E51" s="4" t="s">
        <v>60</v>
      </c>
      <c r="F51" s="4" t="s">
        <v>8</v>
      </c>
      <c r="G51" s="5" t="s">
        <v>61</v>
      </c>
    </row>
    <row r="52" spans="1:10" ht="33" customHeight="1">
      <c r="B52" s="13" t="s">
        <v>62</v>
      </c>
      <c r="C52" s="14" t="s">
        <v>112</v>
      </c>
      <c r="D52" s="59">
        <v>882</v>
      </c>
      <c r="E52" s="59">
        <v>1764</v>
      </c>
      <c r="F52" s="15">
        <v>1</v>
      </c>
      <c r="G52" s="16"/>
    </row>
    <row r="53" spans="1:10" ht="24.75" customHeight="1">
      <c r="B53" s="17" t="s">
        <v>53</v>
      </c>
      <c r="C53" s="18"/>
      <c r="D53" s="68">
        <f>SUM(D52:D52)</f>
        <v>882</v>
      </c>
      <c r="E53" s="68">
        <f>SUM(E52:E52)</f>
        <v>1764</v>
      </c>
      <c r="F53" s="69">
        <f>SUM(F52:F52)</f>
        <v>1</v>
      </c>
      <c r="G53" s="16"/>
    </row>
    <row r="54" spans="1:10" ht="28.5" customHeight="1">
      <c r="B54" s="308" t="s">
        <v>63</v>
      </c>
      <c r="C54" s="70" t="s">
        <v>113</v>
      </c>
      <c r="D54" s="71">
        <v>840</v>
      </c>
      <c r="E54" s="72">
        <v>840</v>
      </c>
      <c r="F54" s="73">
        <v>18</v>
      </c>
      <c r="G54" s="74"/>
    </row>
    <row r="55" spans="1:10" ht="28.5" customHeight="1">
      <c r="B55" s="308"/>
      <c r="C55" s="14" t="s">
        <v>114</v>
      </c>
      <c r="D55" s="75">
        <v>2322</v>
      </c>
      <c r="E55" s="76">
        <v>2376</v>
      </c>
      <c r="F55" s="15">
        <v>66</v>
      </c>
      <c r="G55" s="16" t="s">
        <v>115</v>
      </c>
    </row>
    <row r="56" spans="1:10" ht="28.5" customHeight="1">
      <c r="B56" s="308"/>
      <c r="C56" s="14" t="s">
        <v>116</v>
      </c>
      <c r="D56" s="75">
        <v>960</v>
      </c>
      <c r="E56" s="76">
        <v>960</v>
      </c>
      <c r="F56" s="15">
        <v>20</v>
      </c>
      <c r="G56" s="16"/>
    </row>
    <row r="57" spans="1:10" ht="45" customHeight="1">
      <c r="B57" s="308"/>
      <c r="C57" s="14" t="s">
        <v>117</v>
      </c>
      <c r="D57" s="75">
        <v>547.5</v>
      </c>
      <c r="E57" s="76">
        <v>650</v>
      </c>
      <c r="F57" s="15">
        <v>10</v>
      </c>
      <c r="G57" s="19"/>
    </row>
    <row r="58" spans="1:10" ht="42.75" customHeight="1">
      <c r="B58" s="308"/>
      <c r="C58" s="14" t="s">
        <v>118</v>
      </c>
      <c r="D58" s="59">
        <v>0</v>
      </c>
      <c r="E58" s="77">
        <v>0</v>
      </c>
      <c r="F58" s="15">
        <v>0</v>
      </c>
      <c r="G58" s="19" t="s">
        <v>119</v>
      </c>
    </row>
    <row r="59" spans="1:10" ht="29.25" customHeight="1">
      <c r="B59" s="17" t="s">
        <v>53</v>
      </c>
      <c r="C59" s="97"/>
      <c r="D59" s="68">
        <f>SUM(D54:D58)</f>
        <v>4669.5</v>
      </c>
      <c r="E59" s="68">
        <f>SUM(E54:E58)</f>
        <v>4826</v>
      </c>
      <c r="F59" s="69">
        <f>SUM(F54:F58)</f>
        <v>114</v>
      </c>
      <c r="G59" s="16"/>
    </row>
    <row r="60" spans="1:10" ht="24" customHeight="1">
      <c r="B60" s="78" t="s">
        <v>64</v>
      </c>
      <c r="C60" s="70"/>
      <c r="D60" s="79">
        <v>0</v>
      </c>
      <c r="E60" s="79">
        <v>0</v>
      </c>
      <c r="F60" s="104">
        <v>0</v>
      </c>
      <c r="G60" s="105" t="s">
        <v>84</v>
      </c>
    </row>
    <row r="61" spans="1:10" ht="27" customHeight="1">
      <c r="B61" s="17" t="s">
        <v>53</v>
      </c>
      <c r="C61" s="18"/>
      <c r="D61" s="55">
        <f>SUM(D60:D60)</f>
        <v>0</v>
      </c>
      <c r="E61" s="55">
        <f>SUM(E60:E60)</f>
        <v>0</v>
      </c>
      <c r="F61" s="56">
        <f>SUM(F60:F60)</f>
        <v>0</v>
      </c>
      <c r="G61" s="16"/>
    </row>
    <row r="62" spans="1:10" ht="27" customHeight="1">
      <c r="B62" s="13" t="s">
        <v>65</v>
      </c>
      <c r="C62" s="18"/>
      <c r="D62" s="59">
        <v>0</v>
      </c>
      <c r="E62" s="59">
        <v>0</v>
      </c>
      <c r="F62" s="15">
        <v>0</v>
      </c>
      <c r="G62" s="105" t="s">
        <v>84</v>
      </c>
    </row>
    <row r="63" spans="1:10" ht="16.5" customHeight="1">
      <c r="B63" s="17" t="s">
        <v>53</v>
      </c>
      <c r="C63" s="18"/>
      <c r="D63" s="55">
        <f>SUM(D62:D62)</f>
        <v>0</v>
      </c>
      <c r="E63" s="55">
        <f>SUM(E62:E62)</f>
        <v>0</v>
      </c>
      <c r="F63" s="56">
        <f>SUM(F62:F62)</f>
        <v>0</v>
      </c>
      <c r="G63" s="16"/>
    </row>
    <row r="64" spans="1:10" ht="30.75" customHeight="1">
      <c r="B64" s="13" t="s">
        <v>73</v>
      </c>
      <c r="C64" s="25"/>
      <c r="D64" s="59">
        <v>0</v>
      </c>
      <c r="E64" s="59">
        <v>0</v>
      </c>
      <c r="F64" s="15">
        <v>0</v>
      </c>
      <c r="G64" s="105" t="s">
        <v>84</v>
      </c>
    </row>
    <row r="65" spans="2:7" ht="15.6">
      <c r="B65" s="17" t="s">
        <v>53</v>
      </c>
      <c r="C65" s="18"/>
      <c r="D65" s="55">
        <f>SUM(D64:D64)</f>
        <v>0</v>
      </c>
      <c r="E65" s="55">
        <f>SUM(E64:E64)</f>
        <v>0</v>
      </c>
      <c r="F65" s="56">
        <f>SUM(F64:F64)</f>
        <v>0</v>
      </c>
      <c r="G65" s="16"/>
    </row>
    <row r="66" spans="2:7" ht="17.25" customHeight="1">
      <c r="B66" s="335"/>
      <c r="C66" s="335"/>
      <c r="D66" s="335"/>
      <c r="E66" s="335"/>
      <c r="F66" s="335"/>
      <c r="G66" s="335"/>
    </row>
    <row r="67" spans="2:7" ht="33" customHeight="1">
      <c r="B67" s="17" t="s">
        <v>74</v>
      </c>
      <c r="C67" s="18"/>
      <c r="D67" s="33">
        <f>SUM(D45+D49+D53+D59+D61+D63+D65)</f>
        <v>41930.729999999996</v>
      </c>
      <c r="E67" s="33">
        <f>SUM(E45+E49+E53+E59+E61+E63+E65)</f>
        <v>6847.7</v>
      </c>
      <c r="F67" s="41">
        <f>SUM(F45+F49+F53+F59+F61+F63+F65)</f>
        <v>303</v>
      </c>
      <c r="G67" s="16"/>
    </row>
    <row r="68" spans="2:7">
      <c r="B68" s="80"/>
      <c r="C68" s="81"/>
      <c r="D68" s="81"/>
      <c r="E68" s="81"/>
      <c r="F68" s="81"/>
    </row>
    <row r="69" spans="2:7" ht="15" customHeight="1">
      <c r="B69" s="80"/>
      <c r="C69" s="81"/>
      <c r="D69" s="81"/>
      <c r="E69" s="81"/>
      <c r="F69" s="81"/>
    </row>
    <row r="70" spans="2:7">
      <c r="B70" s="82" t="s">
        <v>120</v>
      </c>
    </row>
    <row r="71" spans="2:7">
      <c r="B71" s="82"/>
    </row>
    <row r="72" spans="2:7" ht="15" customHeight="1">
      <c r="B72" s="83" t="s">
        <v>121</v>
      </c>
    </row>
    <row r="73" spans="2:7">
      <c r="B73" s="83" t="s">
        <v>122</v>
      </c>
    </row>
    <row r="74" spans="2:7" ht="16.8" customHeight="1">
      <c r="B74" s="83" t="s">
        <v>123</v>
      </c>
    </row>
    <row r="75" spans="2:7">
      <c r="B75" s="84"/>
    </row>
    <row r="76" spans="2:7">
      <c r="B76" s="85" t="s">
        <v>83</v>
      </c>
      <c r="C76" s="85"/>
    </row>
    <row r="77" spans="2:7" ht="15.75" customHeight="1"/>
  </sheetData>
  <mergeCells count="32">
    <mergeCell ref="B46:B48"/>
    <mergeCell ref="B50:G50"/>
    <mergeCell ref="B54:B58"/>
    <mergeCell ref="B66:G66"/>
    <mergeCell ref="C34:C35"/>
    <mergeCell ref="D34:D35"/>
    <mergeCell ref="C36:C38"/>
    <mergeCell ref="D36:D38"/>
    <mergeCell ref="C41:C43"/>
    <mergeCell ref="D41:D43"/>
    <mergeCell ref="C26:C27"/>
    <mergeCell ref="D26:D27"/>
    <mergeCell ref="C28:C29"/>
    <mergeCell ref="D28:D29"/>
    <mergeCell ref="C32:C33"/>
    <mergeCell ref="D32:D33"/>
    <mergeCell ref="B4:G4"/>
    <mergeCell ref="B5:G5"/>
    <mergeCell ref="B6:G6"/>
    <mergeCell ref="B8:B44"/>
    <mergeCell ref="C8:C9"/>
    <mergeCell ref="D8:D9"/>
    <mergeCell ref="C12:C13"/>
    <mergeCell ref="D12:D13"/>
    <mergeCell ref="C14:C17"/>
    <mergeCell ref="D14:D17"/>
    <mergeCell ref="C18:C19"/>
    <mergeCell ref="D18:D19"/>
    <mergeCell ref="C20:C22"/>
    <mergeCell ref="D20:D22"/>
    <mergeCell ref="C23:C25"/>
    <mergeCell ref="D23:D2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72CEB8-2FB3-4016-9222-1140397AE38E}">
  <dimension ref="B1:P119"/>
  <sheetViews>
    <sheetView topLeftCell="A106" workbookViewId="0">
      <selection activeCell="F109" sqref="F109"/>
    </sheetView>
  </sheetViews>
  <sheetFormatPr defaultColWidth="9.109375" defaultRowHeight="14.4"/>
  <cols>
    <col min="1" max="1" width="3.44140625" customWidth="1"/>
    <col min="2" max="2" width="40.5546875" customWidth="1"/>
    <col min="3" max="3" width="33.88671875" customWidth="1"/>
    <col min="4" max="4" width="16.6640625" customWidth="1"/>
    <col min="5" max="5" width="18.33203125" customWidth="1"/>
    <col min="6" max="6" width="11.33203125" customWidth="1"/>
    <col min="7" max="7" width="37.109375" customWidth="1"/>
    <col min="8" max="8" width="16" customWidth="1"/>
  </cols>
  <sheetData>
    <row r="1" spans="2:9" ht="30" customHeight="1">
      <c r="B1" s="1" t="s">
        <v>0</v>
      </c>
    </row>
    <row r="2" spans="2:9" ht="25.5" customHeight="1">
      <c r="B2" s="1" t="s">
        <v>1</v>
      </c>
      <c r="D2" s="2"/>
      <c r="E2" s="2"/>
    </row>
    <row r="3" spans="2:9" ht="12.75" customHeight="1">
      <c r="B3" s="1"/>
      <c r="D3" s="2"/>
      <c r="E3" s="2"/>
    </row>
    <row r="4" spans="2:9" ht="32.25" customHeight="1">
      <c r="B4" s="344" t="s">
        <v>177</v>
      </c>
      <c r="C4" s="344"/>
      <c r="D4" s="344"/>
      <c r="E4" s="344"/>
      <c r="F4" s="344"/>
      <c r="G4" s="344"/>
    </row>
    <row r="5" spans="2:9" ht="31.5" customHeight="1">
      <c r="B5" s="310" t="s">
        <v>377</v>
      </c>
      <c r="C5" s="310"/>
      <c r="D5" s="310"/>
      <c r="E5" s="310"/>
      <c r="F5" s="310"/>
      <c r="G5" s="310"/>
    </row>
    <row r="6" spans="2:9" ht="26.25" customHeight="1">
      <c r="B6" s="345" t="s">
        <v>4</v>
      </c>
      <c r="C6" s="345"/>
      <c r="D6" s="345"/>
      <c r="E6" s="345"/>
      <c r="F6" s="345"/>
      <c r="G6" s="345"/>
    </row>
    <row r="7" spans="2:9" ht="97.5" customHeight="1">
      <c r="B7" s="7" t="s">
        <v>5</v>
      </c>
      <c r="C7" s="67" t="s">
        <v>88</v>
      </c>
      <c r="D7" s="67" t="s">
        <v>6</v>
      </c>
      <c r="E7" s="67" t="s">
        <v>7</v>
      </c>
      <c r="F7" s="67" t="s">
        <v>8</v>
      </c>
      <c r="G7" s="67" t="s">
        <v>9</v>
      </c>
      <c r="I7" s="207"/>
    </row>
    <row r="8" spans="2:9" ht="31.5" customHeight="1">
      <c r="B8" s="346" t="s">
        <v>10</v>
      </c>
      <c r="C8" s="6" t="s">
        <v>378</v>
      </c>
      <c r="D8" s="27">
        <v>1386.8</v>
      </c>
      <c r="E8" s="28">
        <v>10</v>
      </c>
      <c r="F8" s="15">
        <v>14</v>
      </c>
      <c r="G8" s="208"/>
      <c r="I8" s="209"/>
    </row>
    <row r="9" spans="2:9" ht="31.5" customHeight="1">
      <c r="B9" s="346"/>
      <c r="C9" s="6" t="s">
        <v>379</v>
      </c>
      <c r="D9" s="27">
        <v>176.65</v>
      </c>
      <c r="E9" s="28">
        <v>6</v>
      </c>
      <c r="F9" s="15">
        <v>7</v>
      </c>
      <c r="G9" s="208"/>
      <c r="I9" s="209"/>
    </row>
    <row r="10" spans="2:9" ht="31.5" customHeight="1">
      <c r="B10" s="346"/>
      <c r="C10" s="58" t="s">
        <v>380</v>
      </c>
      <c r="D10" s="27">
        <v>663.42</v>
      </c>
      <c r="E10" s="28">
        <v>10</v>
      </c>
      <c r="F10" s="15">
        <v>8</v>
      </c>
      <c r="G10" s="208"/>
    </row>
    <row r="11" spans="2:9" ht="31.5" customHeight="1">
      <c r="B11" s="346"/>
      <c r="C11" s="58" t="s">
        <v>381</v>
      </c>
      <c r="D11" s="27">
        <v>112.5</v>
      </c>
      <c r="E11" s="28">
        <v>6</v>
      </c>
      <c r="F11" s="15">
        <v>1</v>
      </c>
      <c r="G11" s="208"/>
    </row>
    <row r="12" spans="2:9" ht="31.5" customHeight="1">
      <c r="B12" s="346"/>
      <c r="C12" s="6" t="s">
        <v>382</v>
      </c>
      <c r="D12" s="28">
        <v>3363.58</v>
      </c>
      <c r="E12" s="28">
        <v>10</v>
      </c>
      <c r="F12" s="15">
        <v>14</v>
      </c>
      <c r="G12" s="208"/>
    </row>
    <row r="13" spans="2:9" ht="31.5" customHeight="1">
      <c r="B13" s="346"/>
      <c r="C13" s="6" t="s">
        <v>383</v>
      </c>
      <c r="D13" s="28">
        <v>0</v>
      </c>
      <c r="E13" s="28">
        <v>6</v>
      </c>
      <c r="F13" s="15">
        <v>0</v>
      </c>
      <c r="G13" s="229" t="s">
        <v>84</v>
      </c>
    </row>
    <row r="14" spans="2:9" ht="31.5" customHeight="1">
      <c r="B14" s="346"/>
      <c r="C14" s="6" t="s">
        <v>384</v>
      </c>
      <c r="D14" s="27">
        <v>2254.0700000000002</v>
      </c>
      <c r="E14" s="28">
        <v>10</v>
      </c>
      <c r="F14" s="15">
        <v>17</v>
      </c>
      <c r="G14" s="208"/>
    </row>
    <row r="15" spans="2:9" ht="31.5" customHeight="1">
      <c r="B15" s="346"/>
      <c r="C15" s="6" t="s">
        <v>385</v>
      </c>
      <c r="D15" s="27">
        <v>2132.2800000000002</v>
      </c>
      <c r="E15" s="28">
        <v>6</v>
      </c>
      <c r="F15" s="15">
        <v>13</v>
      </c>
      <c r="G15" s="208"/>
    </row>
    <row r="16" spans="2:9" ht="31.5" customHeight="1">
      <c r="B16" s="346"/>
      <c r="C16" s="6" t="s">
        <v>386</v>
      </c>
      <c r="D16" s="27">
        <v>35.4</v>
      </c>
      <c r="E16" s="28">
        <v>10</v>
      </c>
      <c r="F16" s="15">
        <v>1</v>
      </c>
      <c r="G16" s="5"/>
    </row>
    <row r="17" spans="2:9" ht="31.5" customHeight="1">
      <c r="B17" s="346"/>
      <c r="C17" s="6" t="s">
        <v>387</v>
      </c>
      <c r="D17" s="27">
        <v>106.2</v>
      </c>
      <c r="E17" s="28">
        <v>15</v>
      </c>
      <c r="F17" s="15">
        <v>1</v>
      </c>
      <c r="G17" s="5"/>
    </row>
    <row r="18" spans="2:9" ht="31.5" customHeight="1">
      <c r="B18" s="346"/>
      <c r="C18" s="6" t="s">
        <v>388</v>
      </c>
      <c r="D18" s="27">
        <v>900.25</v>
      </c>
      <c r="E18" s="28">
        <v>10</v>
      </c>
      <c r="F18" s="15">
        <v>17</v>
      </c>
      <c r="G18" s="208"/>
      <c r="H18" s="20"/>
    </row>
    <row r="19" spans="2:9" ht="31.5" customHeight="1">
      <c r="B19" s="346"/>
      <c r="C19" s="6" t="s">
        <v>389</v>
      </c>
      <c r="D19" s="27">
        <v>1104.23</v>
      </c>
      <c r="E19" s="28">
        <v>6</v>
      </c>
      <c r="F19" s="15">
        <v>35</v>
      </c>
      <c r="G19" s="208"/>
      <c r="H19" s="20"/>
    </row>
    <row r="20" spans="2:9" ht="31.5" customHeight="1">
      <c r="B20" s="346"/>
      <c r="C20" s="6" t="s">
        <v>390</v>
      </c>
      <c r="D20" s="27">
        <v>1428.34</v>
      </c>
      <c r="E20" s="28">
        <v>10</v>
      </c>
      <c r="F20" s="15">
        <v>24</v>
      </c>
      <c r="G20" s="208"/>
    </row>
    <row r="21" spans="2:9" ht="36" customHeight="1">
      <c r="B21" s="346"/>
      <c r="C21" s="6" t="s">
        <v>391</v>
      </c>
      <c r="D21" s="27">
        <v>867.9</v>
      </c>
      <c r="E21" s="28">
        <v>6</v>
      </c>
      <c r="F21" s="15">
        <v>26</v>
      </c>
      <c r="G21" s="208"/>
    </row>
    <row r="22" spans="2:9" ht="48.75" customHeight="1">
      <c r="B22" s="346"/>
      <c r="C22" s="6" t="s">
        <v>392</v>
      </c>
      <c r="D22" s="28">
        <v>0</v>
      </c>
      <c r="E22" s="28">
        <v>10</v>
      </c>
      <c r="F22" s="15">
        <v>0</v>
      </c>
      <c r="G22" s="229" t="s">
        <v>84</v>
      </c>
    </row>
    <row r="23" spans="2:9" ht="51.75" customHeight="1">
      <c r="B23" s="346"/>
      <c r="C23" s="6" t="s">
        <v>393</v>
      </c>
      <c r="D23" s="27">
        <v>90</v>
      </c>
      <c r="E23" s="28">
        <v>15</v>
      </c>
      <c r="F23" s="15">
        <v>1</v>
      </c>
      <c r="G23" s="5"/>
    </row>
    <row r="24" spans="2:9" ht="39" customHeight="1">
      <c r="B24" s="346"/>
      <c r="C24" s="6" t="s">
        <v>394</v>
      </c>
      <c r="D24" s="27">
        <v>4837.84</v>
      </c>
      <c r="E24" s="28">
        <v>10</v>
      </c>
      <c r="F24" s="15">
        <v>22</v>
      </c>
      <c r="G24" s="16"/>
      <c r="I24" s="209"/>
    </row>
    <row r="25" spans="2:9" ht="31.5" customHeight="1">
      <c r="B25" s="346"/>
      <c r="C25" s="6" t="s">
        <v>395</v>
      </c>
      <c r="D25" s="28">
        <v>0</v>
      </c>
      <c r="E25" s="28">
        <v>6</v>
      </c>
      <c r="F25" s="15">
        <v>0</v>
      </c>
      <c r="G25" s="229" t="s">
        <v>84</v>
      </c>
    </row>
    <row r="26" spans="2:9" ht="31.5" customHeight="1">
      <c r="B26" s="346"/>
      <c r="C26" s="6" t="s">
        <v>396</v>
      </c>
      <c r="D26" s="27">
        <v>1173.06</v>
      </c>
      <c r="E26" s="28">
        <v>10</v>
      </c>
      <c r="F26" s="15">
        <v>7</v>
      </c>
      <c r="G26" s="5"/>
    </row>
    <row r="27" spans="2:9" ht="31.5" customHeight="1">
      <c r="B27" s="346"/>
      <c r="C27" s="6" t="s">
        <v>397</v>
      </c>
      <c r="D27" s="28">
        <v>0</v>
      </c>
      <c r="E27" s="28">
        <v>6</v>
      </c>
      <c r="F27" s="15">
        <v>0</v>
      </c>
      <c r="G27" s="229" t="s">
        <v>84</v>
      </c>
    </row>
    <row r="28" spans="2:9" ht="31.5" customHeight="1">
      <c r="B28" s="346"/>
      <c r="C28" s="6" t="s">
        <v>398</v>
      </c>
      <c r="D28" s="28">
        <v>3386.55</v>
      </c>
      <c r="E28" s="28">
        <v>10</v>
      </c>
      <c r="F28" s="15">
        <v>13</v>
      </c>
      <c r="G28" s="5"/>
    </row>
    <row r="29" spans="2:9" ht="31.5" customHeight="1">
      <c r="B29" s="346"/>
      <c r="C29" s="6" t="s">
        <v>399</v>
      </c>
      <c r="D29" s="27">
        <v>5307.98</v>
      </c>
      <c r="E29" s="28">
        <v>6</v>
      </c>
      <c r="F29" s="15">
        <v>10</v>
      </c>
      <c r="G29" s="16"/>
      <c r="I29" s="209"/>
    </row>
    <row r="30" spans="2:9" ht="31.5" customHeight="1">
      <c r="B30" s="346"/>
      <c r="C30" s="6" t="s">
        <v>400</v>
      </c>
      <c r="D30" s="27">
        <v>131.94</v>
      </c>
      <c r="E30" s="28">
        <v>10</v>
      </c>
      <c r="F30" s="15">
        <v>5</v>
      </c>
      <c r="G30" s="16"/>
      <c r="I30" s="209"/>
    </row>
    <row r="31" spans="2:9" ht="31.5" customHeight="1">
      <c r="B31" s="346"/>
      <c r="C31" s="6" t="s">
        <v>401</v>
      </c>
      <c r="D31" s="27">
        <v>145.51</v>
      </c>
      <c r="E31" s="28">
        <v>6</v>
      </c>
      <c r="F31" s="15">
        <v>10</v>
      </c>
      <c r="G31" s="16"/>
      <c r="I31" s="209"/>
    </row>
    <row r="32" spans="2:9" ht="31.5" customHeight="1">
      <c r="B32" s="346"/>
      <c r="C32" s="6" t="s">
        <v>402</v>
      </c>
      <c r="D32" s="28">
        <v>1237.8</v>
      </c>
      <c r="E32" s="28">
        <v>10</v>
      </c>
      <c r="F32" s="15">
        <v>7</v>
      </c>
      <c r="G32" s="5"/>
    </row>
    <row r="33" spans="2:16" ht="31.5" customHeight="1">
      <c r="B33" s="346"/>
      <c r="C33" s="6" t="s">
        <v>403</v>
      </c>
      <c r="D33" s="28">
        <v>14.04</v>
      </c>
      <c r="E33" s="28">
        <v>6</v>
      </c>
      <c r="F33" s="15">
        <v>1</v>
      </c>
      <c r="G33" s="5"/>
    </row>
    <row r="34" spans="2:16" ht="31.5" customHeight="1">
      <c r="B34" s="346"/>
      <c r="C34" s="6" t="s">
        <v>404</v>
      </c>
      <c r="D34" s="27">
        <v>357.06</v>
      </c>
      <c r="E34" s="28">
        <v>10</v>
      </c>
      <c r="F34" s="15">
        <v>11</v>
      </c>
      <c r="G34" s="210"/>
    </row>
    <row r="35" spans="2:16" ht="31.5" customHeight="1">
      <c r="B35" s="346"/>
      <c r="C35" s="6" t="s">
        <v>405</v>
      </c>
      <c r="D35" s="27">
        <v>1143.82</v>
      </c>
      <c r="E35" s="28">
        <v>6</v>
      </c>
      <c r="F35" s="15">
        <v>13</v>
      </c>
      <c r="G35" s="5"/>
    </row>
    <row r="36" spans="2:16" ht="31.5" customHeight="1">
      <c r="B36" s="346"/>
      <c r="C36" s="6" t="s">
        <v>406</v>
      </c>
      <c r="D36" s="27">
        <v>1305.1199999999999</v>
      </c>
      <c r="E36" s="28">
        <v>10</v>
      </c>
      <c r="F36" s="15">
        <v>16</v>
      </c>
      <c r="G36" s="211"/>
      <c r="I36" s="209"/>
    </row>
    <row r="37" spans="2:16" ht="31.5" customHeight="1">
      <c r="B37" s="346"/>
      <c r="C37" s="6" t="s">
        <v>407</v>
      </c>
      <c r="D37" s="27">
        <v>595.80999999999995</v>
      </c>
      <c r="E37" s="28">
        <v>6</v>
      </c>
      <c r="F37" s="15">
        <v>10</v>
      </c>
      <c r="G37" s="208"/>
    </row>
    <row r="38" spans="2:16" ht="31.5" customHeight="1">
      <c r="B38" s="346"/>
      <c r="C38" s="6" t="s">
        <v>408</v>
      </c>
      <c r="D38" s="27">
        <v>108</v>
      </c>
      <c r="E38" s="28">
        <v>15</v>
      </c>
      <c r="F38" s="15">
        <v>1</v>
      </c>
      <c r="G38" s="208"/>
    </row>
    <row r="39" spans="2:16" ht="31.5" customHeight="1">
      <c r="B39" s="346"/>
      <c r="C39" s="6" t="s">
        <v>409</v>
      </c>
      <c r="D39" s="27">
        <v>2192.91</v>
      </c>
      <c r="E39" s="28">
        <v>10</v>
      </c>
      <c r="F39" s="15">
        <v>17</v>
      </c>
      <c r="G39" s="208"/>
      <c r="H39" s="212"/>
      <c r="I39" s="20"/>
    </row>
    <row r="40" spans="2:16" ht="31.5" customHeight="1">
      <c r="B40" s="346"/>
      <c r="C40" s="6" t="s">
        <v>410</v>
      </c>
      <c r="D40" s="28">
        <v>0</v>
      </c>
      <c r="E40" s="28">
        <v>6</v>
      </c>
      <c r="F40" s="15">
        <v>0</v>
      </c>
      <c r="G40" s="229" t="s">
        <v>84</v>
      </c>
    </row>
    <row r="41" spans="2:16" ht="42" customHeight="1">
      <c r="B41" s="346"/>
      <c r="C41" s="6" t="s">
        <v>411</v>
      </c>
      <c r="D41" s="28">
        <v>1316.43</v>
      </c>
      <c r="E41" s="28">
        <v>10</v>
      </c>
      <c r="F41" s="15">
        <v>19</v>
      </c>
      <c r="G41" s="210"/>
    </row>
    <row r="42" spans="2:16" ht="31.5" customHeight="1">
      <c r="B42" s="346"/>
      <c r="C42" s="6" t="s">
        <v>412</v>
      </c>
      <c r="D42" s="28">
        <v>0</v>
      </c>
      <c r="E42" s="28">
        <v>6</v>
      </c>
      <c r="F42" s="15">
        <v>0</v>
      </c>
      <c r="G42" s="229" t="s">
        <v>84</v>
      </c>
    </row>
    <row r="43" spans="2:16" ht="31.5" customHeight="1">
      <c r="B43" s="346"/>
      <c r="C43" s="6" t="s">
        <v>413</v>
      </c>
      <c r="D43" s="28">
        <v>2168.73</v>
      </c>
      <c r="E43" s="28">
        <v>10</v>
      </c>
      <c r="F43" s="15">
        <v>8</v>
      </c>
      <c r="G43" s="5"/>
      <c r="I43" s="209"/>
    </row>
    <row r="44" spans="2:16" ht="31.5" customHeight="1">
      <c r="B44" s="346"/>
      <c r="C44" s="6" t="s">
        <v>414</v>
      </c>
      <c r="D44" s="28">
        <v>0</v>
      </c>
      <c r="E44" s="28">
        <v>6</v>
      </c>
      <c r="F44" s="15">
        <v>0</v>
      </c>
      <c r="G44" s="229" t="s">
        <v>84</v>
      </c>
    </row>
    <row r="45" spans="2:16" ht="31.5" customHeight="1">
      <c r="B45" s="346"/>
      <c r="C45" s="6" t="s">
        <v>415</v>
      </c>
      <c r="D45" s="28">
        <v>2696.1</v>
      </c>
      <c r="E45" s="28">
        <v>10</v>
      </c>
      <c r="F45" s="15">
        <v>8</v>
      </c>
      <c r="G45" s="67"/>
    </row>
    <row r="46" spans="2:16" ht="31.5" customHeight="1">
      <c r="B46" s="346"/>
      <c r="C46" s="6" t="s">
        <v>416</v>
      </c>
      <c r="D46" s="28">
        <v>0</v>
      </c>
      <c r="E46" s="28">
        <v>6</v>
      </c>
      <c r="F46" s="15">
        <v>0</v>
      </c>
      <c r="G46" s="229" t="s">
        <v>84</v>
      </c>
    </row>
    <row r="47" spans="2:16" ht="31.5" customHeight="1">
      <c r="B47" s="346"/>
      <c r="C47" s="6" t="s">
        <v>417</v>
      </c>
      <c r="D47" s="28">
        <v>98.52</v>
      </c>
      <c r="E47" s="28">
        <v>10</v>
      </c>
      <c r="F47" s="15">
        <v>5</v>
      </c>
      <c r="G47" s="16"/>
      <c r="I47" s="209"/>
      <c r="P47" s="213"/>
    </row>
    <row r="48" spans="2:16" ht="31.5" customHeight="1">
      <c r="B48" s="346"/>
      <c r="C48" s="6" t="s">
        <v>418</v>
      </c>
      <c r="D48" s="28">
        <v>0</v>
      </c>
      <c r="E48" s="28">
        <v>6</v>
      </c>
      <c r="F48" s="15">
        <v>0</v>
      </c>
      <c r="G48" s="229" t="s">
        <v>84</v>
      </c>
      <c r="P48" s="213"/>
    </row>
    <row r="49" spans="2:16" ht="31.5" customHeight="1">
      <c r="B49" s="346"/>
      <c r="C49" s="6" t="s">
        <v>419</v>
      </c>
      <c r="D49" s="27">
        <v>129.56</v>
      </c>
      <c r="E49" s="28">
        <v>10</v>
      </c>
      <c r="F49" s="15">
        <v>3</v>
      </c>
      <c r="G49" s="210"/>
      <c r="P49" s="213"/>
    </row>
    <row r="50" spans="2:16" ht="31.5" customHeight="1">
      <c r="B50" s="346"/>
      <c r="C50" s="6" t="s">
        <v>420</v>
      </c>
      <c r="D50" s="28">
        <v>256.08</v>
      </c>
      <c r="E50" s="28">
        <v>6</v>
      </c>
      <c r="F50" s="224">
        <v>2</v>
      </c>
      <c r="G50" s="179"/>
    </row>
    <row r="51" spans="2:16" ht="31.5" customHeight="1">
      <c r="B51" s="346"/>
      <c r="C51" s="6" t="s">
        <v>421</v>
      </c>
      <c r="D51" s="28">
        <v>493.5</v>
      </c>
      <c r="E51" s="28">
        <v>10</v>
      </c>
      <c r="F51" s="224">
        <v>12</v>
      </c>
      <c r="G51" s="179"/>
    </row>
    <row r="52" spans="2:16" ht="31.5" customHeight="1">
      <c r="B52" s="346"/>
      <c r="C52" s="6" t="s">
        <v>422</v>
      </c>
      <c r="D52" s="27">
        <v>679.22</v>
      </c>
      <c r="E52" s="28">
        <v>6</v>
      </c>
      <c r="F52" s="224">
        <v>9</v>
      </c>
      <c r="G52" s="179"/>
    </row>
    <row r="53" spans="2:16" ht="31.5" customHeight="1">
      <c r="B53" s="346"/>
      <c r="C53" s="6" t="s">
        <v>423</v>
      </c>
      <c r="D53" s="27">
        <v>79.56</v>
      </c>
      <c r="E53" s="28">
        <v>10</v>
      </c>
      <c r="F53" s="224">
        <v>5</v>
      </c>
      <c r="G53" s="7"/>
    </row>
    <row r="54" spans="2:16" ht="31.5" customHeight="1">
      <c r="B54" s="346"/>
      <c r="C54" s="6" t="s">
        <v>424</v>
      </c>
      <c r="D54" s="27">
        <v>25.2</v>
      </c>
      <c r="E54" s="28">
        <v>6</v>
      </c>
      <c r="F54" s="224">
        <v>3</v>
      </c>
      <c r="G54" s="7"/>
    </row>
    <row r="55" spans="2:16" ht="31.5" customHeight="1">
      <c r="B55" s="346"/>
      <c r="C55" s="6" t="s">
        <v>425</v>
      </c>
      <c r="D55" s="27">
        <v>1819.92</v>
      </c>
      <c r="E55" s="28">
        <v>10</v>
      </c>
      <c r="F55" s="224">
        <v>19</v>
      </c>
      <c r="G55" s="179"/>
    </row>
    <row r="56" spans="2:16" ht="31.5" customHeight="1">
      <c r="B56" s="346"/>
      <c r="C56" s="6" t="s">
        <v>426</v>
      </c>
      <c r="D56" s="27">
        <v>889.5</v>
      </c>
      <c r="E56" s="28">
        <v>6</v>
      </c>
      <c r="F56" s="224">
        <v>10</v>
      </c>
      <c r="G56" s="179"/>
    </row>
    <row r="57" spans="2:16" ht="31.5" customHeight="1">
      <c r="B57" s="346"/>
      <c r="C57" s="6" t="s">
        <v>427</v>
      </c>
      <c r="D57" s="27">
        <v>990</v>
      </c>
      <c r="E57" s="28">
        <v>15</v>
      </c>
      <c r="F57" s="224">
        <v>4</v>
      </c>
      <c r="G57" s="179"/>
    </row>
    <row r="58" spans="2:16" ht="33" customHeight="1">
      <c r="B58" s="11" t="s">
        <v>53</v>
      </c>
      <c r="C58" s="11"/>
      <c r="D58" s="29">
        <f>SUM(D8:D57)</f>
        <v>48201.37999999999</v>
      </c>
      <c r="E58" s="29">
        <f>SUM(E8:E57)</f>
        <v>432</v>
      </c>
      <c r="F58" s="35">
        <f>SUM(F8:F57)</f>
        <v>429</v>
      </c>
      <c r="G58" s="216"/>
    </row>
    <row r="59" spans="2:16" ht="37.5" customHeight="1">
      <c r="B59" s="347" t="s">
        <v>54</v>
      </c>
      <c r="C59" s="214" t="s">
        <v>428</v>
      </c>
      <c r="D59" s="28">
        <v>0</v>
      </c>
      <c r="E59" s="28">
        <v>0</v>
      </c>
      <c r="F59" s="215">
        <v>21</v>
      </c>
      <c r="G59" s="86" t="s">
        <v>85</v>
      </c>
    </row>
    <row r="60" spans="2:16" ht="28.8">
      <c r="B60" s="347"/>
      <c r="C60" s="6" t="s">
        <v>429</v>
      </c>
      <c r="D60" s="28">
        <v>0</v>
      </c>
      <c r="E60" s="28">
        <v>1.22</v>
      </c>
      <c r="F60" s="226">
        <v>0</v>
      </c>
      <c r="G60" s="229" t="s">
        <v>84</v>
      </c>
    </row>
    <row r="61" spans="2:16" ht="28.8">
      <c r="B61" s="347"/>
      <c r="C61" s="6" t="s">
        <v>430</v>
      </c>
      <c r="D61" s="31">
        <v>374.34</v>
      </c>
      <c r="E61" s="28">
        <v>4.96</v>
      </c>
      <c r="F61" s="227">
        <v>4</v>
      </c>
      <c r="G61" s="216"/>
    </row>
    <row r="62" spans="2:16" ht="39.75" customHeight="1">
      <c r="B62" s="347"/>
      <c r="C62" s="6" t="s">
        <v>431</v>
      </c>
      <c r="D62" s="28">
        <v>0</v>
      </c>
      <c r="E62" s="28">
        <v>0</v>
      </c>
      <c r="F62" s="226">
        <v>0</v>
      </c>
      <c r="G62" s="229" t="s">
        <v>84</v>
      </c>
    </row>
    <row r="63" spans="2:16" ht="28.8">
      <c r="B63" s="347"/>
      <c r="C63" s="6" t="s">
        <v>432</v>
      </c>
      <c r="D63" s="28">
        <v>0</v>
      </c>
      <c r="E63" s="28">
        <v>1.22</v>
      </c>
      <c r="F63" s="226">
        <v>0</v>
      </c>
      <c r="G63" s="229" t="s">
        <v>84</v>
      </c>
    </row>
    <row r="64" spans="2:16" ht="53.25" customHeight="1">
      <c r="B64" s="347"/>
      <c r="C64" s="6" t="s">
        <v>433</v>
      </c>
      <c r="D64" s="28">
        <v>0</v>
      </c>
      <c r="E64" s="28">
        <v>4.96</v>
      </c>
      <c r="F64" s="226">
        <v>0</v>
      </c>
      <c r="G64" s="229" t="s">
        <v>84</v>
      </c>
    </row>
    <row r="65" spans="2:7" ht="53.25" customHeight="1">
      <c r="B65" s="347"/>
      <c r="C65" s="214" t="s">
        <v>434</v>
      </c>
      <c r="D65" s="28">
        <v>0</v>
      </c>
      <c r="E65" s="28">
        <v>0</v>
      </c>
      <c r="F65" s="217">
        <v>3</v>
      </c>
      <c r="G65" s="86" t="s">
        <v>85</v>
      </c>
    </row>
    <row r="66" spans="2:7" ht="59.4" customHeight="1">
      <c r="B66" s="347"/>
      <c r="C66" s="6" t="s">
        <v>435</v>
      </c>
      <c r="D66" s="28">
        <v>0</v>
      </c>
      <c r="E66" s="28">
        <v>1.22</v>
      </c>
      <c r="F66" s="226">
        <v>0</v>
      </c>
      <c r="G66" s="229" t="s">
        <v>84</v>
      </c>
    </row>
    <row r="67" spans="2:7" ht="28.8">
      <c r="B67" s="347"/>
      <c r="C67" s="6" t="s">
        <v>436</v>
      </c>
      <c r="D67" s="31">
        <v>148.72</v>
      </c>
      <c r="E67" s="28">
        <v>4.96</v>
      </c>
      <c r="F67" s="226">
        <v>2</v>
      </c>
      <c r="G67" s="216"/>
    </row>
    <row r="68" spans="2:7" ht="59.4" customHeight="1">
      <c r="B68" s="347"/>
      <c r="C68" s="58" t="s">
        <v>437</v>
      </c>
      <c r="D68" s="28">
        <v>0</v>
      </c>
      <c r="E68" s="28">
        <v>0</v>
      </c>
      <c r="F68" s="226">
        <v>0</v>
      </c>
      <c r="G68" s="229" t="s">
        <v>84</v>
      </c>
    </row>
    <row r="69" spans="2:7" ht="42.75" customHeight="1">
      <c r="B69" s="347"/>
      <c r="C69" s="58" t="s">
        <v>438</v>
      </c>
      <c r="D69" s="28">
        <v>0</v>
      </c>
      <c r="E69" s="28">
        <v>4.96</v>
      </c>
      <c r="F69" s="226">
        <v>0</v>
      </c>
      <c r="G69" s="229" t="s">
        <v>84</v>
      </c>
    </row>
    <row r="70" spans="2:7" ht="42.75" customHeight="1">
      <c r="B70" s="347"/>
      <c r="C70" s="6" t="s">
        <v>439</v>
      </c>
      <c r="D70" s="28">
        <v>0</v>
      </c>
      <c r="E70" s="28">
        <v>0</v>
      </c>
      <c r="F70" s="225">
        <v>13</v>
      </c>
      <c r="G70" s="86" t="s">
        <v>85</v>
      </c>
    </row>
    <row r="71" spans="2:7" ht="42.75" customHeight="1">
      <c r="B71" s="347"/>
      <c r="C71" s="6" t="s">
        <v>440</v>
      </c>
      <c r="D71" s="28">
        <v>0</v>
      </c>
      <c r="E71" s="28">
        <v>0.99</v>
      </c>
      <c r="F71" s="161">
        <v>0</v>
      </c>
      <c r="G71" s="229" t="s">
        <v>84</v>
      </c>
    </row>
    <row r="72" spans="2:7" ht="42.75" customHeight="1">
      <c r="B72" s="347"/>
      <c r="C72" s="6" t="s">
        <v>441</v>
      </c>
      <c r="D72" s="28">
        <v>24.79</v>
      </c>
      <c r="E72" s="28">
        <v>3.72</v>
      </c>
      <c r="F72" s="224">
        <v>1</v>
      </c>
      <c r="G72" s="216"/>
    </row>
    <row r="73" spans="2:7" ht="42.75" customHeight="1">
      <c r="B73" s="347"/>
      <c r="C73" s="6" t="s">
        <v>442</v>
      </c>
      <c r="D73" s="28">
        <v>0</v>
      </c>
      <c r="E73" s="28">
        <v>11.16</v>
      </c>
      <c r="F73" s="161">
        <v>0</v>
      </c>
      <c r="G73" s="229" t="s">
        <v>84</v>
      </c>
    </row>
    <row r="74" spans="2:7" ht="42.75" customHeight="1">
      <c r="B74" s="347"/>
      <c r="C74" s="214" t="s">
        <v>443</v>
      </c>
      <c r="D74" s="28">
        <v>0</v>
      </c>
      <c r="E74" s="28">
        <v>0</v>
      </c>
      <c r="F74" s="224">
        <v>6</v>
      </c>
      <c r="G74" s="86" t="s">
        <v>85</v>
      </c>
    </row>
    <row r="75" spans="2:7" ht="42.75" customHeight="1">
      <c r="B75" s="347"/>
      <c r="C75" s="6" t="s">
        <v>444</v>
      </c>
      <c r="D75" s="28">
        <v>0</v>
      </c>
      <c r="E75" s="28">
        <v>0.68</v>
      </c>
      <c r="F75" s="161">
        <v>0</v>
      </c>
      <c r="G75" s="229" t="s">
        <v>84</v>
      </c>
    </row>
    <row r="76" spans="2:7" ht="42.75" customHeight="1">
      <c r="B76" s="347"/>
      <c r="C76" s="6" t="s">
        <v>445</v>
      </c>
      <c r="D76" s="28">
        <v>0</v>
      </c>
      <c r="E76" s="28">
        <v>2.48</v>
      </c>
      <c r="F76" s="161">
        <v>0</v>
      </c>
      <c r="G76" s="229" t="s">
        <v>84</v>
      </c>
    </row>
    <row r="77" spans="2:7" ht="42.75" customHeight="1">
      <c r="B77" s="347"/>
      <c r="C77" s="6" t="s">
        <v>446</v>
      </c>
      <c r="D77" s="28">
        <v>0</v>
      </c>
      <c r="E77" s="28">
        <v>7.44</v>
      </c>
      <c r="F77" s="161">
        <v>0</v>
      </c>
      <c r="G77" s="229" t="s">
        <v>84</v>
      </c>
    </row>
    <row r="78" spans="2:7" ht="42.75" customHeight="1">
      <c r="B78" s="347"/>
      <c r="C78" s="214" t="s">
        <v>447</v>
      </c>
      <c r="D78" s="28">
        <v>0</v>
      </c>
      <c r="E78" s="28">
        <v>0</v>
      </c>
      <c r="F78" s="224">
        <v>8</v>
      </c>
      <c r="G78" s="86" t="s">
        <v>85</v>
      </c>
    </row>
    <row r="79" spans="2:7" ht="39.6" customHeight="1">
      <c r="B79" s="347"/>
      <c r="C79" s="6" t="s">
        <v>448</v>
      </c>
      <c r="D79" s="28">
        <v>0</v>
      </c>
      <c r="E79" s="28">
        <v>0.68</v>
      </c>
      <c r="F79" s="161">
        <v>0</v>
      </c>
      <c r="G79" s="229" t="s">
        <v>84</v>
      </c>
    </row>
    <row r="80" spans="2:7" ht="42" customHeight="1">
      <c r="B80" s="347"/>
      <c r="C80" s="6" t="s">
        <v>449</v>
      </c>
      <c r="D80" s="28">
        <v>0</v>
      </c>
      <c r="E80" s="28">
        <v>2.48</v>
      </c>
      <c r="F80" s="161">
        <v>0</v>
      </c>
      <c r="G80" s="229" t="s">
        <v>84</v>
      </c>
    </row>
    <row r="81" spans="2:7" ht="47.25" customHeight="1">
      <c r="B81" s="347"/>
      <c r="C81" s="6" t="s">
        <v>450</v>
      </c>
      <c r="D81" s="28">
        <v>0</v>
      </c>
      <c r="E81" s="28">
        <v>7.44</v>
      </c>
      <c r="F81" s="161">
        <v>0</v>
      </c>
      <c r="G81" s="229" t="s">
        <v>84</v>
      </c>
    </row>
    <row r="82" spans="2:7" ht="25.2" customHeight="1">
      <c r="B82" s="11" t="s">
        <v>53</v>
      </c>
      <c r="C82" s="11"/>
      <c r="D82" s="29">
        <f>SUM(D59:D81)</f>
        <v>547.84999999999991</v>
      </c>
      <c r="E82" s="29">
        <f>SUM(E59:E81)</f>
        <v>60.569999999999986</v>
      </c>
      <c r="F82" s="35">
        <f>SUM(F59:F81)</f>
        <v>58</v>
      </c>
      <c r="G82" s="8"/>
    </row>
    <row r="83" spans="2:7" ht="24.75" customHeight="1">
      <c r="B83" s="343" t="s">
        <v>58</v>
      </c>
      <c r="C83" s="343"/>
      <c r="D83" s="343"/>
      <c r="E83" s="343"/>
      <c r="F83" s="343"/>
      <c r="G83" s="343"/>
    </row>
    <row r="84" spans="2:7" ht="53.25" customHeight="1">
      <c r="B84" s="4" t="s">
        <v>5</v>
      </c>
      <c r="C84" s="4" t="s">
        <v>59</v>
      </c>
      <c r="D84" s="4" t="s">
        <v>6</v>
      </c>
      <c r="E84" s="4" t="s">
        <v>60</v>
      </c>
      <c r="F84" s="4" t="s">
        <v>8</v>
      </c>
      <c r="G84" s="5" t="s">
        <v>61</v>
      </c>
    </row>
    <row r="85" spans="2:7" ht="28.8">
      <c r="B85" s="13" t="s">
        <v>62</v>
      </c>
      <c r="C85" s="14"/>
      <c r="D85" s="27">
        <v>0</v>
      </c>
      <c r="E85" s="27">
        <v>0</v>
      </c>
      <c r="F85" s="161">
        <v>0</v>
      </c>
      <c r="G85" s="229" t="s">
        <v>84</v>
      </c>
    </row>
    <row r="86" spans="2:7" ht="29.25" customHeight="1">
      <c r="B86" s="17" t="s">
        <v>53</v>
      </c>
      <c r="C86" s="18"/>
      <c r="D86" s="32">
        <f>SUM(D85)</f>
        <v>0</v>
      </c>
      <c r="E86" s="32">
        <f>SUM(E85)</f>
        <v>0</v>
      </c>
      <c r="F86" s="382">
        <f>SUM(F85)</f>
        <v>0</v>
      </c>
      <c r="G86" s="16"/>
    </row>
    <row r="87" spans="2:7" ht="90" customHeight="1">
      <c r="B87" s="341" t="s">
        <v>63</v>
      </c>
      <c r="C87" s="6" t="s">
        <v>451</v>
      </c>
      <c r="D87" s="28">
        <v>5503.1</v>
      </c>
      <c r="E87" s="28">
        <v>5540</v>
      </c>
      <c r="F87" s="224">
        <v>100</v>
      </c>
      <c r="G87" s="16"/>
    </row>
    <row r="88" spans="2:7" ht="33" customHeight="1">
      <c r="B88" s="341"/>
      <c r="C88" s="6" t="s">
        <v>452</v>
      </c>
      <c r="D88" s="28">
        <v>3615</v>
      </c>
      <c r="E88" s="28">
        <v>3600</v>
      </c>
      <c r="F88" s="224">
        <v>61</v>
      </c>
      <c r="G88" s="16"/>
    </row>
    <row r="89" spans="2:7" ht="27.6" customHeight="1">
      <c r="B89" s="17" t="s">
        <v>53</v>
      </c>
      <c r="C89" s="18"/>
      <c r="D89" s="29">
        <f>SUM(D87:D88)</f>
        <v>9118.1</v>
      </c>
      <c r="E89" s="29">
        <f>SUM(E87:E88)</f>
        <v>9140</v>
      </c>
      <c r="F89" s="35">
        <f>SUM(F87:F88)</f>
        <v>161</v>
      </c>
      <c r="G89" s="16"/>
    </row>
    <row r="90" spans="2:7" ht="90" customHeight="1">
      <c r="B90" s="342" t="s">
        <v>64</v>
      </c>
      <c r="C90" s="218" t="s">
        <v>453</v>
      </c>
      <c r="D90" s="27">
        <v>315.14</v>
      </c>
      <c r="E90" s="27">
        <v>315.14</v>
      </c>
      <c r="F90" s="161">
        <v>1</v>
      </c>
      <c r="G90" s="6"/>
    </row>
    <row r="91" spans="2:7">
      <c r="B91" s="342"/>
      <c r="C91" s="218" t="s">
        <v>454</v>
      </c>
      <c r="D91" s="27">
        <v>367.58</v>
      </c>
      <c r="E91" s="27">
        <v>367.58</v>
      </c>
      <c r="F91" s="161">
        <v>1</v>
      </c>
      <c r="G91" s="6"/>
    </row>
    <row r="92" spans="2:7">
      <c r="B92" s="342"/>
      <c r="C92" s="218" t="s">
        <v>455</v>
      </c>
      <c r="D92" s="27">
        <v>0</v>
      </c>
      <c r="E92" s="27">
        <v>18679.41</v>
      </c>
      <c r="F92" s="161">
        <v>0</v>
      </c>
      <c r="G92" s="229" t="s">
        <v>84</v>
      </c>
    </row>
    <row r="93" spans="2:7" ht="27.6" customHeight="1">
      <c r="B93" s="17" t="s">
        <v>53</v>
      </c>
      <c r="C93" s="18"/>
      <c r="D93" s="29">
        <f>SUM(D90:D92)</f>
        <v>682.72</v>
      </c>
      <c r="E93" s="29">
        <f>SUM(E90:E92)</f>
        <v>19362.13</v>
      </c>
      <c r="F93" s="35">
        <f>SUM(F90:F92)</f>
        <v>2</v>
      </c>
      <c r="G93" s="16"/>
    </row>
    <row r="94" spans="2:7" ht="60" customHeight="1">
      <c r="B94" s="342" t="s">
        <v>65</v>
      </c>
      <c r="C94" s="58" t="s">
        <v>456</v>
      </c>
      <c r="D94" s="27">
        <v>0</v>
      </c>
      <c r="E94" s="27">
        <v>798.75</v>
      </c>
      <c r="F94" s="34">
        <v>0</v>
      </c>
      <c r="G94" s="229" t="s">
        <v>84</v>
      </c>
    </row>
    <row r="95" spans="2:7" ht="45" customHeight="1">
      <c r="B95" s="342"/>
      <c r="C95" s="6" t="s">
        <v>457</v>
      </c>
      <c r="D95" s="27">
        <v>0</v>
      </c>
      <c r="E95" s="27">
        <v>6800</v>
      </c>
      <c r="F95" s="34">
        <v>0</v>
      </c>
      <c r="G95" s="229" t="s">
        <v>84</v>
      </c>
    </row>
    <row r="96" spans="2:7" ht="45" customHeight="1">
      <c r="B96" s="342"/>
      <c r="C96" s="6" t="s">
        <v>458</v>
      </c>
      <c r="D96" s="27">
        <v>4792.66</v>
      </c>
      <c r="E96" s="27">
        <v>7910</v>
      </c>
      <c r="F96" s="34">
        <v>2</v>
      </c>
      <c r="G96" s="6" t="s">
        <v>459</v>
      </c>
    </row>
    <row r="97" spans="2:7" ht="45" customHeight="1">
      <c r="B97" s="342"/>
      <c r="C97" s="6" t="s">
        <v>460</v>
      </c>
      <c r="D97" s="27">
        <v>0</v>
      </c>
      <c r="E97" s="27">
        <v>3450</v>
      </c>
      <c r="F97" s="34">
        <v>0</v>
      </c>
      <c r="G97" s="229" t="s">
        <v>84</v>
      </c>
    </row>
    <row r="98" spans="2:7" ht="45" customHeight="1">
      <c r="B98" s="342"/>
      <c r="C98" s="58" t="s">
        <v>461</v>
      </c>
      <c r="D98" s="27">
        <v>0</v>
      </c>
      <c r="E98" s="27">
        <v>0</v>
      </c>
      <c r="F98" s="34">
        <v>0</v>
      </c>
      <c r="G98" s="229" t="s">
        <v>84</v>
      </c>
    </row>
    <row r="99" spans="2:7" ht="54" customHeight="1">
      <c r="B99" s="342"/>
      <c r="C99" s="6" t="s">
        <v>462</v>
      </c>
      <c r="D99" s="27">
        <v>0</v>
      </c>
      <c r="E99" s="27">
        <v>0</v>
      </c>
      <c r="F99" s="34">
        <v>0</v>
      </c>
      <c r="G99" s="6" t="s">
        <v>85</v>
      </c>
    </row>
    <row r="100" spans="2:7" ht="45" customHeight="1">
      <c r="B100" s="342"/>
      <c r="C100" s="6" t="s">
        <v>463</v>
      </c>
      <c r="D100" s="27">
        <v>0</v>
      </c>
      <c r="E100" s="27" t="s">
        <v>464</v>
      </c>
      <c r="F100" s="34">
        <v>0</v>
      </c>
      <c r="G100" s="229" t="s">
        <v>84</v>
      </c>
    </row>
    <row r="101" spans="2:7" ht="45" customHeight="1">
      <c r="B101" s="342"/>
      <c r="C101" s="6" t="s">
        <v>465</v>
      </c>
      <c r="D101" s="27">
        <v>0</v>
      </c>
      <c r="E101" s="27">
        <v>0</v>
      </c>
      <c r="F101" s="34">
        <v>0</v>
      </c>
      <c r="G101" s="6" t="s">
        <v>85</v>
      </c>
    </row>
    <row r="102" spans="2:7" ht="45" customHeight="1">
      <c r="B102" s="342"/>
      <c r="C102" s="6" t="s">
        <v>466</v>
      </c>
      <c r="D102" s="27">
        <v>0</v>
      </c>
      <c r="E102" s="27">
        <v>1207</v>
      </c>
      <c r="F102" s="34">
        <v>0</v>
      </c>
      <c r="G102" s="229" t="s">
        <v>84</v>
      </c>
    </row>
    <row r="103" spans="2:7" ht="16.5" customHeight="1">
      <c r="B103" s="342"/>
      <c r="C103" s="6" t="s">
        <v>467</v>
      </c>
      <c r="D103" s="27">
        <v>0</v>
      </c>
      <c r="E103" s="27">
        <v>0</v>
      </c>
      <c r="F103" s="34">
        <v>0</v>
      </c>
      <c r="G103" s="6" t="s">
        <v>85</v>
      </c>
    </row>
    <row r="104" spans="2:7" ht="30.75" customHeight="1">
      <c r="B104" s="342"/>
      <c r="C104" s="6" t="s">
        <v>468</v>
      </c>
      <c r="D104" s="27">
        <v>1818.75</v>
      </c>
      <c r="E104" s="27">
        <v>1818.75</v>
      </c>
      <c r="F104" s="34">
        <v>1</v>
      </c>
      <c r="G104" s="6"/>
    </row>
    <row r="105" spans="2:7" ht="21.6" customHeight="1">
      <c r="B105" s="17" t="s">
        <v>53</v>
      </c>
      <c r="C105" s="220"/>
      <c r="D105" s="29">
        <f>SUM(D94:D104)</f>
        <v>6611.41</v>
      </c>
      <c r="E105" s="29">
        <f>SUM(E94:E104)</f>
        <v>21984.5</v>
      </c>
      <c r="F105" s="35">
        <f>SUM(F94:F104)</f>
        <v>3</v>
      </c>
      <c r="G105" s="16"/>
    </row>
    <row r="106" spans="2:7" ht="35.25" customHeight="1">
      <c r="B106" s="13" t="s">
        <v>73</v>
      </c>
      <c r="C106" s="25"/>
      <c r="D106" s="60">
        <v>0</v>
      </c>
      <c r="E106" s="60">
        <v>0</v>
      </c>
      <c r="F106" s="34">
        <v>0</v>
      </c>
      <c r="G106" s="229" t="s">
        <v>84</v>
      </c>
    </row>
    <row r="107" spans="2:7" ht="24.6" customHeight="1">
      <c r="B107" s="17" t="s">
        <v>53</v>
      </c>
      <c r="C107" s="25"/>
      <c r="D107" s="32">
        <f>SUM(D106)</f>
        <v>0</v>
      </c>
      <c r="E107" s="32">
        <f>SUM(E106)</f>
        <v>0</v>
      </c>
      <c r="F107" s="382">
        <f>SUM(F106)</f>
        <v>0</v>
      </c>
      <c r="G107" s="16"/>
    </row>
    <row r="108" spans="2:7" ht="19.8" customHeight="1">
      <c r="B108" s="335"/>
      <c r="C108" s="335"/>
      <c r="D108" s="335"/>
      <c r="E108" s="335"/>
      <c r="F108" s="335"/>
      <c r="G108" s="335"/>
    </row>
    <row r="109" spans="2:7" ht="47.4" customHeight="1">
      <c r="B109" s="17" t="s">
        <v>74</v>
      </c>
      <c r="C109" s="220"/>
      <c r="D109" s="29">
        <f>D107+D105+D93+D89+D86+D82+D58</f>
        <v>65161.459999999992</v>
      </c>
      <c r="E109" s="29">
        <f>E107+E105+E93+E89+E86+E82+E58</f>
        <v>50979.200000000004</v>
      </c>
      <c r="F109" s="228">
        <f>F107+F105+F93+F89+F86+F82+F58</f>
        <v>653</v>
      </c>
      <c r="G109" s="16"/>
    </row>
    <row r="110" spans="2:7" ht="16.8" customHeight="1">
      <c r="B110" s="37"/>
      <c r="C110" s="221"/>
      <c r="D110" s="222"/>
      <c r="E110" s="222"/>
      <c r="F110" s="223"/>
    </row>
    <row r="111" spans="2:7">
      <c r="B111" s="80" t="s">
        <v>299</v>
      </c>
    </row>
    <row r="112" spans="2:7" ht="22.2" customHeight="1">
      <c r="B112" s="219" t="s">
        <v>296</v>
      </c>
      <c r="C112" s="219"/>
      <c r="D112" s="219"/>
      <c r="E112" s="219"/>
    </row>
    <row r="113" spans="2:7" ht="15" customHeight="1">
      <c r="B113" s="219" t="s">
        <v>469</v>
      </c>
      <c r="C113" s="219"/>
      <c r="D113" s="219"/>
      <c r="E113" s="219"/>
    </row>
    <row r="114" spans="2:7">
      <c r="B114" s="219" t="s">
        <v>470</v>
      </c>
      <c r="C114" s="219"/>
      <c r="D114" s="219"/>
      <c r="E114" s="219"/>
      <c r="F114" s="340"/>
      <c r="G114" s="340"/>
    </row>
    <row r="115" spans="2:7">
      <c r="B115" s="84"/>
    </row>
    <row r="116" spans="2:7">
      <c r="B116" t="s">
        <v>83</v>
      </c>
    </row>
    <row r="117" spans="2:7">
      <c r="B117" s="305"/>
      <c r="C117" s="305"/>
      <c r="D117" s="305"/>
    </row>
    <row r="119" spans="2:7" ht="15.75" customHeight="1"/>
  </sheetData>
  <mergeCells count="12">
    <mergeCell ref="B83:G83"/>
    <mergeCell ref="B4:G4"/>
    <mergeCell ref="B5:G5"/>
    <mergeCell ref="B6:G6"/>
    <mergeCell ref="B8:B57"/>
    <mergeCell ref="B59:B81"/>
    <mergeCell ref="F114:G114"/>
    <mergeCell ref="B117:D117"/>
    <mergeCell ref="B108:G108"/>
    <mergeCell ref="B87:B88"/>
    <mergeCell ref="B90:B92"/>
    <mergeCell ref="B94:B10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DFD2E7-9DDF-4AB5-B9F9-271B80E5615C}">
  <dimension ref="B1:I147"/>
  <sheetViews>
    <sheetView topLeftCell="A131" workbookViewId="0">
      <selection activeCell="B146" sqref="B146:D146"/>
    </sheetView>
  </sheetViews>
  <sheetFormatPr defaultColWidth="9.109375" defaultRowHeight="14.4"/>
  <cols>
    <col min="1" max="1" width="3.44140625" style="167" customWidth="1"/>
    <col min="2" max="2" width="37.109375" style="192" customWidth="1"/>
    <col min="3" max="3" width="34.5546875" style="163" customWidth="1"/>
    <col min="4" max="4" width="17" style="164" bestFit="1" customWidth="1"/>
    <col min="5" max="5" width="13.44140625" style="164" bestFit="1" customWidth="1"/>
    <col min="6" max="6" width="13.88671875" style="165" bestFit="1" customWidth="1"/>
    <col min="7" max="7" width="31.44140625" style="166" bestFit="1" customWidth="1"/>
    <col min="8" max="16384" width="9.109375" style="167"/>
  </cols>
  <sheetData>
    <row r="1" spans="2:7" ht="30" customHeight="1">
      <c r="B1" s="162" t="s">
        <v>0</v>
      </c>
    </row>
    <row r="2" spans="2:7" ht="18">
      <c r="B2" s="162" t="s">
        <v>1</v>
      </c>
      <c r="D2" s="168"/>
      <c r="E2" s="168"/>
    </row>
    <row r="3" spans="2:7" ht="12.75" customHeight="1">
      <c r="B3" s="169"/>
      <c r="D3" s="168"/>
      <c r="E3" s="168"/>
    </row>
    <row r="4" spans="2:7" ht="32.25" customHeight="1">
      <c r="B4" s="350" t="s">
        <v>300</v>
      </c>
      <c r="C4" s="350"/>
      <c r="D4" s="350"/>
      <c r="E4" s="350"/>
      <c r="F4" s="350"/>
      <c r="G4" s="350"/>
    </row>
    <row r="5" spans="2:7" ht="31.5" customHeight="1">
      <c r="B5" s="350" t="s">
        <v>301</v>
      </c>
      <c r="C5" s="350"/>
      <c r="D5" s="350"/>
      <c r="E5" s="350"/>
      <c r="F5" s="350"/>
      <c r="G5" s="350"/>
    </row>
    <row r="6" spans="2:7" ht="26.25" customHeight="1">
      <c r="B6" s="351" t="s">
        <v>4</v>
      </c>
      <c r="C6" s="351"/>
      <c r="D6" s="351"/>
      <c r="E6" s="351"/>
      <c r="F6" s="351"/>
      <c r="G6" s="351"/>
    </row>
    <row r="7" spans="2:7" ht="55.5" customHeight="1">
      <c r="B7" s="170" t="s">
        <v>5</v>
      </c>
      <c r="C7" s="171" t="s">
        <v>88</v>
      </c>
      <c r="D7" s="172" t="s">
        <v>6</v>
      </c>
      <c r="E7" s="172" t="s">
        <v>7</v>
      </c>
      <c r="F7" s="171" t="s">
        <v>8</v>
      </c>
      <c r="G7" s="173" t="s">
        <v>9</v>
      </c>
    </row>
    <row r="8" spans="2:7" ht="33.75" customHeight="1">
      <c r="B8" s="352" t="s">
        <v>10</v>
      </c>
      <c r="C8" s="174" t="s">
        <v>302</v>
      </c>
      <c r="D8" s="175">
        <f>198.45+1271.03+674.1</f>
        <v>2143.58</v>
      </c>
      <c r="E8" s="175">
        <v>4.5</v>
      </c>
      <c r="F8" s="388">
        <v>5</v>
      </c>
      <c r="G8" s="176"/>
    </row>
    <row r="9" spans="2:7" ht="36.75" customHeight="1">
      <c r="B9" s="353"/>
      <c r="C9" s="174" t="s">
        <v>303</v>
      </c>
      <c r="D9" s="175">
        <v>0</v>
      </c>
      <c r="E9" s="175">
        <v>3.5</v>
      </c>
      <c r="F9" s="388">
        <v>0</v>
      </c>
      <c r="G9" s="177" t="s">
        <v>304</v>
      </c>
    </row>
    <row r="10" spans="2:7" ht="36.75" customHeight="1">
      <c r="B10" s="353"/>
      <c r="C10" s="174" t="s">
        <v>302</v>
      </c>
      <c r="D10" s="175">
        <f>1265.04+891.85+246.68+326.8+75.9+335.24</f>
        <v>3141.51</v>
      </c>
      <c r="E10" s="175">
        <v>5.27</v>
      </c>
      <c r="F10" s="388">
        <v>5</v>
      </c>
      <c r="G10" s="176"/>
    </row>
    <row r="11" spans="2:7" ht="36.75" customHeight="1">
      <c r="B11" s="353"/>
      <c r="C11" s="174" t="s">
        <v>303</v>
      </c>
      <c r="D11" s="178">
        <v>216.48</v>
      </c>
      <c r="E11" s="178">
        <v>1.23</v>
      </c>
      <c r="F11" s="389">
        <v>1</v>
      </c>
      <c r="G11" s="176"/>
    </row>
    <row r="12" spans="2:7" ht="36.75" customHeight="1">
      <c r="B12" s="353"/>
      <c r="C12" s="174" t="s">
        <v>305</v>
      </c>
      <c r="D12" s="178">
        <v>632.52</v>
      </c>
      <c r="E12" s="178">
        <v>5.27</v>
      </c>
      <c r="F12" s="389">
        <v>1</v>
      </c>
      <c r="G12" s="176"/>
    </row>
    <row r="13" spans="2:7" ht="36.75" customHeight="1">
      <c r="B13" s="353"/>
      <c r="C13" s="174" t="s">
        <v>306</v>
      </c>
      <c r="D13" s="175">
        <f>252</f>
        <v>252</v>
      </c>
      <c r="E13" s="175">
        <v>6</v>
      </c>
      <c r="F13" s="388">
        <v>1</v>
      </c>
      <c r="G13" s="176"/>
    </row>
    <row r="14" spans="2:7" ht="36.75" customHeight="1">
      <c r="B14" s="353"/>
      <c r="C14" s="348" t="s">
        <v>307</v>
      </c>
      <c r="D14" s="175">
        <v>345.6</v>
      </c>
      <c r="E14" s="175">
        <v>4.5</v>
      </c>
      <c r="F14" s="388">
        <v>3</v>
      </c>
      <c r="G14" s="176"/>
    </row>
    <row r="15" spans="2:7" ht="36.75" customHeight="1">
      <c r="B15" s="353"/>
      <c r="C15" s="349"/>
      <c r="D15" s="175">
        <f>571.64+529.74</f>
        <v>1101.3800000000001</v>
      </c>
      <c r="E15" s="175">
        <v>5.27</v>
      </c>
      <c r="F15" s="388">
        <v>2</v>
      </c>
      <c r="G15" s="176"/>
    </row>
    <row r="16" spans="2:7" ht="36.75" customHeight="1">
      <c r="B16" s="353"/>
      <c r="C16" s="348" t="s">
        <v>308</v>
      </c>
      <c r="D16" s="175">
        <v>67</v>
      </c>
      <c r="E16" s="175">
        <v>3</v>
      </c>
      <c r="F16" s="388">
        <v>1</v>
      </c>
      <c r="G16" s="176"/>
    </row>
    <row r="17" spans="2:7" ht="36.75" customHeight="1">
      <c r="B17" s="353"/>
      <c r="C17" s="349"/>
      <c r="D17" s="175">
        <v>34.78</v>
      </c>
      <c r="E17" s="175">
        <v>3.51</v>
      </c>
      <c r="F17" s="388">
        <v>1</v>
      </c>
      <c r="G17" s="176"/>
    </row>
    <row r="18" spans="2:7" ht="36.75" customHeight="1">
      <c r="B18" s="353"/>
      <c r="C18" s="348" t="s">
        <v>309</v>
      </c>
      <c r="D18" s="175">
        <f>382.73+46.3+88.8</f>
        <v>517.83000000000004</v>
      </c>
      <c r="E18" s="175">
        <v>3</v>
      </c>
      <c r="F18" s="388">
        <v>6</v>
      </c>
      <c r="G18" s="176"/>
    </row>
    <row r="19" spans="2:7" ht="36.75" customHeight="1">
      <c r="B19" s="353"/>
      <c r="C19" s="349"/>
      <c r="D19" s="175">
        <v>67.45</v>
      </c>
      <c r="E19" s="175">
        <v>3.51</v>
      </c>
      <c r="F19" s="388">
        <v>1</v>
      </c>
      <c r="G19" s="176"/>
    </row>
    <row r="20" spans="2:7" ht="36.75" customHeight="1">
      <c r="B20" s="353"/>
      <c r="C20" s="348" t="s">
        <v>310</v>
      </c>
      <c r="D20" s="175">
        <v>43.08</v>
      </c>
      <c r="E20" s="175">
        <v>1.05</v>
      </c>
      <c r="F20" s="388">
        <v>1</v>
      </c>
      <c r="G20" s="176"/>
    </row>
    <row r="21" spans="2:7" ht="36.75" customHeight="1">
      <c r="B21" s="353"/>
      <c r="C21" s="349"/>
      <c r="D21" s="175">
        <v>36.159999999999997</v>
      </c>
      <c r="E21" s="175">
        <v>1.23</v>
      </c>
      <c r="F21" s="388">
        <v>1</v>
      </c>
      <c r="G21" s="176"/>
    </row>
    <row r="22" spans="2:7" ht="36.75" customHeight="1">
      <c r="B22" s="353"/>
      <c r="C22" s="174" t="s">
        <v>311</v>
      </c>
      <c r="D22" s="175">
        <v>0</v>
      </c>
      <c r="E22" s="175">
        <v>3.5</v>
      </c>
      <c r="F22" s="388">
        <v>0</v>
      </c>
      <c r="G22" s="177" t="s">
        <v>304</v>
      </c>
    </row>
    <row r="23" spans="2:7" ht="36.75" customHeight="1">
      <c r="B23" s="353"/>
      <c r="C23" s="174" t="s">
        <v>312</v>
      </c>
      <c r="D23" s="175">
        <f>140.52+1274.05+67.47+71.67</f>
        <v>1553.71</v>
      </c>
      <c r="E23" s="175">
        <v>4.68</v>
      </c>
      <c r="F23" s="388">
        <v>4</v>
      </c>
      <c r="G23" s="176"/>
    </row>
    <row r="24" spans="2:7" ht="36.75" customHeight="1">
      <c r="B24" s="353"/>
      <c r="C24" s="348" t="s">
        <v>313</v>
      </c>
      <c r="D24" s="178">
        <f>147.6+892.16+61.4+118.97+32.47</f>
        <v>1252.6000000000001</v>
      </c>
      <c r="E24" s="178">
        <v>1.64</v>
      </c>
      <c r="F24" s="389">
        <v>4</v>
      </c>
      <c r="G24" s="176"/>
    </row>
    <row r="25" spans="2:7" ht="36.75" customHeight="1">
      <c r="B25" s="353"/>
      <c r="C25" s="355"/>
      <c r="D25" s="178">
        <f>14.27+226.32+150.88+21.4</f>
        <v>412.87</v>
      </c>
      <c r="E25" s="178">
        <v>4.0999999999999996</v>
      </c>
      <c r="F25" s="389">
        <v>2</v>
      </c>
      <c r="G25" s="176"/>
    </row>
    <row r="26" spans="2:7" ht="36.75" customHeight="1">
      <c r="B26" s="353"/>
      <c r="C26" s="355"/>
      <c r="D26" s="175">
        <f>17.27+47.19+24.26</f>
        <v>88.72</v>
      </c>
      <c r="E26" s="175">
        <v>1.05</v>
      </c>
      <c r="F26" s="388">
        <v>5</v>
      </c>
      <c r="G26" s="176"/>
    </row>
    <row r="27" spans="2:7" ht="36.75" customHeight="1">
      <c r="B27" s="353"/>
      <c r="C27" s="349"/>
      <c r="D27" s="175">
        <f>25.5+76.5</f>
        <v>102</v>
      </c>
      <c r="E27" s="175">
        <v>3.5</v>
      </c>
      <c r="F27" s="388">
        <v>3</v>
      </c>
      <c r="G27" s="176"/>
    </row>
    <row r="28" spans="2:7" ht="36.75" customHeight="1">
      <c r="B28" s="353"/>
      <c r="C28" s="174" t="s">
        <v>314</v>
      </c>
      <c r="D28" s="178">
        <v>35.14</v>
      </c>
      <c r="E28" s="178">
        <v>7.03</v>
      </c>
      <c r="F28" s="389">
        <v>1</v>
      </c>
      <c r="G28" s="176"/>
    </row>
    <row r="29" spans="2:7" ht="36.75" customHeight="1">
      <c r="B29" s="353"/>
      <c r="C29" s="174" t="s">
        <v>315</v>
      </c>
      <c r="D29" s="178">
        <v>113.89</v>
      </c>
      <c r="E29" s="178">
        <v>2.81</v>
      </c>
      <c r="F29" s="389">
        <v>1</v>
      </c>
      <c r="G29" s="176"/>
    </row>
    <row r="30" spans="2:7" ht="36.75" customHeight="1">
      <c r="B30" s="353"/>
      <c r="C30" s="174" t="s">
        <v>312</v>
      </c>
      <c r="D30" s="175">
        <f>100.8+50.94</f>
        <v>151.74</v>
      </c>
      <c r="E30" s="175">
        <v>3</v>
      </c>
      <c r="F30" s="388">
        <v>3</v>
      </c>
      <c r="G30" s="176"/>
    </row>
    <row r="31" spans="2:7" ht="36.75" customHeight="1">
      <c r="B31" s="353"/>
      <c r="C31" s="174" t="s">
        <v>316</v>
      </c>
      <c r="D31" s="178">
        <v>281.12</v>
      </c>
      <c r="E31" s="178">
        <v>7.03</v>
      </c>
      <c r="F31" s="389">
        <v>1</v>
      </c>
      <c r="G31" s="176"/>
    </row>
    <row r="32" spans="2:7" ht="36.75" customHeight="1">
      <c r="B32" s="353"/>
      <c r="C32" s="348" t="s">
        <v>317</v>
      </c>
      <c r="D32" s="175">
        <f>89.08+134.4</f>
        <v>223.48000000000002</v>
      </c>
      <c r="E32" s="175">
        <v>3</v>
      </c>
      <c r="F32" s="388">
        <v>3</v>
      </c>
      <c r="G32" s="176"/>
    </row>
    <row r="33" spans="2:7" ht="36.75" customHeight="1">
      <c r="B33" s="353"/>
      <c r="C33" s="349"/>
      <c r="D33" s="175">
        <f>47.78+89.93</f>
        <v>137.71</v>
      </c>
      <c r="E33" s="175">
        <v>4.68</v>
      </c>
      <c r="F33" s="388">
        <v>2</v>
      </c>
      <c r="G33" s="176"/>
    </row>
    <row r="34" spans="2:7" ht="36.75" customHeight="1">
      <c r="B34" s="353"/>
      <c r="C34" s="348" t="s">
        <v>318</v>
      </c>
      <c r="D34" s="175">
        <f>24.99</f>
        <v>24.99</v>
      </c>
      <c r="E34" s="175">
        <v>1.05</v>
      </c>
      <c r="F34" s="388">
        <v>2</v>
      </c>
      <c r="G34" s="176"/>
    </row>
    <row r="35" spans="2:7" ht="36.75" customHeight="1">
      <c r="B35" s="353"/>
      <c r="C35" s="355"/>
      <c r="D35" s="175">
        <f>65.6+52.48+55.1+33.46</f>
        <v>206.64</v>
      </c>
      <c r="E35" s="175">
        <v>1.64</v>
      </c>
      <c r="F35" s="388">
        <v>4</v>
      </c>
      <c r="G35" s="176"/>
    </row>
    <row r="36" spans="2:7" ht="36.75" customHeight="1">
      <c r="B36" s="353"/>
      <c r="C36" s="349"/>
      <c r="D36" s="175">
        <v>0</v>
      </c>
      <c r="E36" s="175">
        <v>3.5</v>
      </c>
      <c r="F36" s="388">
        <v>0</v>
      </c>
      <c r="G36" s="177" t="s">
        <v>304</v>
      </c>
    </row>
    <row r="37" spans="2:7" ht="36.75" customHeight="1">
      <c r="B37" s="353"/>
      <c r="C37" s="348" t="s">
        <v>319</v>
      </c>
      <c r="D37" s="175">
        <v>441</v>
      </c>
      <c r="E37" s="175">
        <v>3.5</v>
      </c>
      <c r="F37" s="388">
        <v>1</v>
      </c>
      <c r="G37" s="177"/>
    </row>
    <row r="38" spans="2:7" ht="41.1" customHeight="1">
      <c r="B38" s="353"/>
      <c r="C38" s="355"/>
      <c r="D38" s="175">
        <v>96.61</v>
      </c>
      <c r="E38" s="175">
        <v>1.05</v>
      </c>
      <c r="F38" s="390">
        <v>1</v>
      </c>
      <c r="G38" s="176"/>
    </row>
    <row r="39" spans="2:7" ht="41.1" customHeight="1">
      <c r="B39" s="353"/>
      <c r="C39" s="355"/>
      <c r="D39" s="175">
        <f>32.47+22.88+25.09</f>
        <v>80.44</v>
      </c>
      <c r="E39" s="175">
        <v>1.64</v>
      </c>
      <c r="F39" s="390">
        <v>3</v>
      </c>
      <c r="G39" s="176"/>
    </row>
    <row r="40" spans="2:7" ht="41.1" customHeight="1">
      <c r="B40" s="353"/>
      <c r="C40" s="349"/>
      <c r="D40" s="175">
        <v>110.7</v>
      </c>
      <c r="E40" s="175">
        <v>4.0999999999999996</v>
      </c>
      <c r="F40" s="390">
        <v>1</v>
      </c>
      <c r="G40" s="177"/>
    </row>
    <row r="41" spans="2:7" ht="36.75" customHeight="1">
      <c r="B41" s="353"/>
      <c r="C41" s="348" t="s">
        <v>320</v>
      </c>
      <c r="D41" s="175">
        <v>165.38</v>
      </c>
      <c r="E41" s="175">
        <v>3</v>
      </c>
      <c r="F41" s="388">
        <v>1</v>
      </c>
      <c r="G41" s="176"/>
    </row>
    <row r="42" spans="2:7" ht="36.75" customHeight="1">
      <c r="B42" s="353"/>
      <c r="C42" s="355"/>
      <c r="D42" s="175">
        <f>92.74</f>
        <v>92.74</v>
      </c>
      <c r="E42" s="175">
        <v>4.68</v>
      </c>
      <c r="F42" s="388">
        <v>1</v>
      </c>
      <c r="G42" s="176"/>
    </row>
    <row r="43" spans="2:7" ht="36.75" customHeight="1">
      <c r="B43" s="353"/>
      <c r="C43" s="349"/>
      <c r="D43" s="175">
        <v>0</v>
      </c>
      <c r="E43" s="175">
        <v>10</v>
      </c>
      <c r="F43" s="388">
        <v>0</v>
      </c>
      <c r="G43" s="177" t="s">
        <v>304</v>
      </c>
    </row>
    <row r="44" spans="2:7" ht="36.75" customHeight="1">
      <c r="B44" s="353"/>
      <c r="C44" s="348" t="s">
        <v>321</v>
      </c>
      <c r="D44" s="175">
        <v>378</v>
      </c>
      <c r="E44" s="175">
        <v>6</v>
      </c>
      <c r="F44" s="388">
        <v>1</v>
      </c>
      <c r="G44" s="177"/>
    </row>
    <row r="45" spans="2:7" ht="36.75" customHeight="1">
      <c r="B45" s="353"/>
      <c r="C45" s="349"/>
      <c r="D45" s="175">
        <v>189.81</v>
      </c>
      <c r="E45" s="175">
        <v>7.03</v>
      </c>
      <c r="F45" s="388">
        <v>1</v>
      </c>
      <c r="G45" s="176"/>
    </row>
    <row r="46" spans="2:7" ht="36.75" customHeight="1">
      <c r="B46" s="353"/>
      <c r="C46" s="348" t="s">
        <v>322</v>
      </c>
      <c r="D46" s="175">
        <v>0</v>
      </c>
      <c r="E46" s="175">
        <v>3.5</v>
      </c>
      <c r="F46" s="388">
        <v>0</v>
      </c>
      <c r="G46" s="177" t="s">
        <v>304</v>
      </c>
    </row>
    <row r="47" spans="2:7" ht="36.75" customHeight="1">
      <c r="B47" s="353"/>
      <c r="C47" s="355"/>
      <c r="D47" s="175">
        <v>18.149999999999999</v>
      </c>
      <c r="E47" s="175">
        <v>1.05</v>
      </c>
      <c r="F47" s="388">
        <v>4</v>
      </c>
      <c r="G47" s="176"/>
    </row>
    <row r="48" spans="2:7" ht="36.75" customHeight="1">
      <c r="B48" s="353"/>
      <c r="C48" s="355"/>
      <c r="D48" s="175">
        <f>19.19+27.06</f>
        <v>46.25</v>
      </c>
      <c r="E48" s="175">
        <v>1.64</v>
      </c>
      <c r="F48" s="388">
        <v>2</v>
      </c>
      <c r="G48" s="176"/>
    </row>
    <row r="49" spans="2:7" ht="36.75" customHeight="1">
      <c r="B49" s="353"/>
      <c r="C49" s="349"/>
      <c r="D49" s="175">
        <v>107.88</v>
      </c>
      <c r="E49" s="175">
        <v>4.0999999999999996</v>
      </c>
      <c r="F49" s="388">
        <v>1</v>
      </c>
      <c r="G49" s="176"/>
    </row>
    <row r="50" spans="2:7" ht="36.75" customHeight="1">
      <c r="B50" s="353"/>
      <c r="C50" s="348" t="s">
        <v>323</v>
      </c>
      <c r="D50" s="175">
        <f>253.7+70.56</f>
        <v>324.26</v>
      </c>
      <c r="E50" s="175">
        <v>1.8</v>
      </c>
      <c r="F50" s="388">
        <v>2</v>
      </c>
      <c r="G50" s="176"/>
    </row>
    <row r="51" spans="2:7" ht="36.75" customHeight="1">
      <c r="B51" s="353"/>
      <c r="C51" s="349"/>
      <c r="D51" s="175">
        <v>37.96</v>
      </c>
      <c r="E51" s="175">
        <v>2.81</v>
      </c>
      <c r="F51" s="388">
        <v>1</v>
      </c>
      <c r="G51" s="176"/>
    </row>
    <row r="52" spans="2:7" ht="36.75" customHeight="1">
      <c r="B52" s="353"/>
      <c r="C52" s="174" t="s">
        <v>324</v>
      </c>
      <c r="D52" s="175">
        <v>120.49</v>
      </c>
      <c r="E52" s="175">
        <v>4.5</v>
      </c>
      <c r="F52" s="388">
        <v>1</v>
      </c>
      <c r="G52" s="176"/>
    </row>
    <row r="53" spans="2:7" ht="36.75" customHeight="1">
      <c r="B53" s="353"/>
      <c r="C53" s="348" t="s">
        <v>325</v>
      </c>
      <c r="D53" s="175">
        <f>254.52+23.88</f>
        <v>278.40000000000003</v>
      </c>
      <c r="E53" s="175">
        <v>1.8</v>
      </c>
      <c r="F53" s="388">
        <v>4</v>
      </c>
      <c r="G53" s="176"/>
    </row>
    <row r="54" spans="2:7" ht="36.75" customHeight="1">
      <c r="B54" s="353"/>
      <c r="C54" s="349"/>
      <c r="D54" s="175">
        <f>37.96+113.04</f>
        <v>151</v>
      </c>
      <c r="E54" s="175">
        <v>2.81</v>
      </c>
      <c r="F54" s="388">
        <v>2</v>
      </c>
      <c r="G54" s="176"/>
    </row>
    <row r="55" spans="2:7" ht="36.75" customHeight="1">
      <c r="B55" s="353"/>
      <c r="C55" s="179" t="s">
        <v>326</v>
      </c>
      <c r="D55" s="175">
        <f>264.6+1425.9+178.5</f>
        <v>1869</v>
      </c>
      <c r="E55" s="175">
        <v>3</v>
      </c>
      <c r="F55" s="388">
        <v>3</v>
      </c>
      <c r="G55" s="176"/>
    </row>
    <row r="56" spans="2:7" ht="36.75" customHeight="1">
      <c r="B56" s="353"/>
      <c r="C56" s="179" t="s">
        <v>326</v>
      </c>
      <c r="D56" s="175">
        <f>132.79+821.52</f>
        <v>954.31</v>
      </c>
      <c r="E56" s="175">
        <v>3.51</v>
      </c>
      <c r="F56" s="388">
        <v>2</v>
      </c>
      <c r="G56" s="176"/>
    </row>
    <row r="57" spans="2:7" ht="36.75" customHeight="1">
      <c r="B57" s="353"/>
      <c r="C57" s="179" t="s">
        <v>327</v>
      </c>
      <c r="D57" s="175">
        <f>244.02+77.18+69.83</f>
        <v>391.03000000000003</v>
      </c>
      <c r="E57" s="175">
        <v>1.05</v>
      </c>
      <c r="F57" s="388">
        <v>3</v>
      </c>
      <c r="G57" s="176"/>
    </row>
    <row r="58" spans="2:7" ht="36.75" customHeight="1">
      <c r="B58" s="353"/>
      <c r="C58" s="179" t="s">
        <v>328</v>
      </c>
      <c r="D58" s="175">
        <v>488.45</v>
      </c>
      <c r="E58" s="175">
        <v>2.11</v>
      </c>
      <c r="F58" s="390">
        <v>1</v>
      </c>
      <c r="G58" s="176"/>
    </row>
    <row r="59" spans="2:7" ht="36.75" customHeight="1">
      <c r="B59" s="353"/>
      <c r="C59" s="179" t="s">
        <v>328</v>
      </c>
      <c r="D59" s="175">
        <v>232.47</v>
      </c>
      <c r="E59" s="175">
        <v>1.23</v>
      </c>
      <c r="F59" s="388">
        <v>1</v>
      </c>
      <c r="G59" s="176"/>
    </row>
    <row r="60" spans="2:7" ht="36.75" customHeight="1">
      <c r="B60" s="353"/>
      <c r="C60" s="348" t="s">
        <v>329</v>
      </c>
      <c r="D60" s="175">
        <f>72+135.28</f>
        <v>207.28</v>
      </c>
      <c r="E60" s="175">
        <v>3</v>
      </c>
      <c r="F60" s="388">
        <v>3</v>
      </c>
      <c r="G60" s="176"/>
    </row>
    <row r="61" spans="2:7" ht="36.75" customHeight="1">
      <c r="B61" s="353"/>
      <c r="C61" s="349"/>
      <c r="D61" s="175">
        <f>237.13+106.44+79.04</f>
        <v>422.61</v>
      </c>
      <c r="E61" s="175">
        <v>3.51</v>
      </c>
      <c r="F61" s="388">
        <v>3</v>
      </c>
      <c r="G61" s="176"/>
    </row>
    <row r="62" spans="2:7" ht="36.75" customHeight="1">
      <c r="B62" s="353"/>
      <c r="C62" s="358" t="s">
        <v>330</v>
      </c>
      <c r="D62" s="175">
        <f>8.91+12.82+49.49</f>
        <v>71.22</v>
      </c>
      <c r="E62" s="175">
        <v>1.8</v>
      </c>
      <c r="F62" s="388">
        <v>6</v>
      </c>
      <c r="G62" s="176"/>
    </row>
    <row r="63" spans="2:7" ht="36.75" customHeight="1">
      <c r="B63" s="353"/>
      <c r="C63" s="359"/>
      <c r="D63" s="175">
        <f>209.42+83.2+17.08+24.68</f>
        <v>334.38</v>
      </c>
      <c r="E63" s="175">
        <v>2.11</v>
      </c>
      <c r="F63" s="388">
        <v>4</v>
      </c>
      <c r="G63" s="176"/>
    </row>
    <row r="64" spans="2:7" ht="36.75" customHeight="1">
      <c r="B64" s="353"/>
      <c r="C64" s="180" t="s">
        <v>331</v>
      </c>
      <c r="D64" s="175">
        <v>0</v>
      </c>
      <c r="E64" s="175">
        <v>3.5</v>
      </c>
      <c r="F64" s="388">
        <v>0</v>
      </c>
      <c r="G64" s="177" t="s">
        <v>304</v>
      </c>
    </row>
    <row r="65" spans="2:7" ht="36.75" customHeight="1">
      <c r="B65" s="353"/>
      <c r="C65" s="356" t="s">
        <v>332</v>
      </c>
      <c r="D65" s="175">
        <v>352.8</v>
      </c>
      <c r="E65" s="175">
        <v>1.05</v>
      </c>
      <c r="F65" s="388">
        <v>1</v>
      </c>
      <c r="G65" s="176"/>
    </row>
    <row r="66" spans="2:7" ht="36.75" customHeight="1">
      <c r="B66" s="353"/>
      <c r="C66" s="357"/>
      <c r="D66" s="175">
        <v>39.36</v>
      </c>
      <c r="E66" s="175">
        <v>1.23</v>
      </c>
      <c r="F66" s="388">
        <v>1</v>
      </c>
      <c r="G66" s="176"/>
    </row>
    <row r="67" spans="2:7" ht="36.75" customHeight="1">
      <c r="B67" s="353"/>
      <c r="C67" s="356" t="s">
        <v>333</v>
      </c>
      <c r="D67" s="181">
        <f>388.5+151.2+65.1</f>
        <v>604.80000000000007</v>
      </c>
      <c r="E67" s="175">
        <v>3</v>
      </c>
      <c r="F67" s="388">
        <v>3</v>
      </c>
      <c r="G67" s="176"/>
    </row>
    <row r="68" spans="2:7" ht="36.75" customHeight="1">
      <c r="B68" s="353"/>
      <c r="C68" s="360"/>
      <c r="D68" s="181">
        <v>194.97</v>
      </c>
      <c r="E68" s="175">
        <v>3.51</v>
      </c>
      <c r="F68" s="388">
        <v>1</v>
      </c>
      <c r="G68" s="176"/>
    </row>
    <row r="69" spans="2:7" ht="36.75" customHeight="1">
      <c r="B69" s="353"/>
      <c r="C69" s="357"/>
      <c r="D69" s="181">
        <f>50.62+39.23</f>
        <v>89.85</v>
      </c>
      <c r="E69" s="175">
        <v>2.11</v>
      </c>
      <c r="F69" s="388">
        <v>2</v>
      </c>
      <c r="G69" s="176"/>
    </row>
    <row r="70" spans="2:7" ht="36.75" customHeight="1">
      <c r="B70" s="353"/>
      <c r="C70" s="356" t="s">
        <v>334</v>
      </c>
      <c r="D70" s="175">
        <f>32.4+33.32+87.86+62.37</f>
        <v>215.95</v>
      </c>
      <c r="E70" s="175">
        <v>3</v>
      </c>
      <c r="F70" s="388">
        <v>6</v>
      </c>
      <c r="G70" s="176"/>
    </row>
    <row r="71" spans="2:7" ht="36.75" customHeight="1">
      <c r="B71" s="353"/>
      <c r="C71" s="357"/>
      <c r="D71" s="175">
        <f>69.56+136.48+76.93+86.95+41.1+112.24</f>
        <v>523.26</v>
      </c>
      <c r="E71" s="175">
        <v>3.51</v>
      </c>
      <c r="F71" s="388">
        <v>6</v>
      </c>
      <c r="G71" s="176"/>
    </row>
    <row r="72" spans="2:7" ht="36.75" customHeight="1">
      <c r="B72" s="353"/>
      <c r="C72" s="174" t="s">
        <v>335</v>
      </c>
      <c r="D72" s="175">
        <f>207.9+443.1+194.92+1394.4</f>
        <v>2240.3200000000002</v>
      </c>
      <c r="E72" s="175">
        <v>3</v>
      </c>
      <c r="F72" s="388">
        <v>3</v>
      </c>
      <c r="G72" s="176"/>
    </row>
    <row r="73" spans="2:7" ht="36.75" customHeight="1">
      <c r="B73" s="353"/>
      <c r="C73" s="174" t="s">
        <v>335</v>
      </c>
      <c r="D73" s="175">
        <f>1377.1+102.76+219.21+686.62</f>
        <v>2385.69</v>
      </c>
      <c r="E73" s="175">
        <v>3.51</v>
      </c>
      <c r="F73" s="388">
        <v>4</v>
      </c>
      <c r="G73" s="176"/>
    </row>
    <row r="74" spans="2:7" ht="36.75" customHeight="1">
      <c r="B74" s="353"/>
      <c r="C74" s="174" t="s">
        <v>336</v>
      </c>
      <c r="D74" s="175">
        <v>43.05</v>
      </c>
      <c r="E74" s="175">
        <v>4.0999999999999996</v>
      </c>
      <c r="F74" s="388">
        <v>1</v>
      </c>
      <c r="G74" s="176"/>
    </row>
    <row r="75" spans="2:7" ht="36.75" customHeight="1">
      <c r="B75" s="353"/>
      <c r="C75" s="174" t="s">
        <v>336</v>
      </c>
      <c r="D75" s="175">
        <v>964.32</v>
      </c>
      <c r="E75" s="175">
        <v>1.23</v>
      </c>
      <c r="F75" s="388">
        <v>1</v>
      </c>
      <c r="G75" s="176"/>
    </row>
    <row r="76" spans="2:7" ht="36.75" customHeight="1">
      <c r="B76" s="353"/>
      <c r="C76" s="348" t="s">
        <v>337</v>
      </c>
      <c r="D76" s="175">
        <f>939.75+705.6</f>
        <v>1645.35</v>
      </c>
      <c r="E76" s="175">
        <v>3</v>
      </c>
      <c r="F76" s="388">
        <v>3</v>
      </c>
      <c r="G76" s="176"/>
    </row>
    <row r="77" spans="2:7" ht="36.75" customHeight="1">
      <c r="B77" s="353"/>
      <c r="C77" s="349"/>
      <c r="D77" s="175">
        <v>217.81</v>
      </c>
      <c r="E77" s="175">
        <v>3.51</v>
      </c>
      <c r="F77" s="388">
        <v>1</v>
      </c>
      <c r="G77" s="176"/>
    </row>
    <row r="78" spans="2:7" ht="36.75" customHeight="1">
      <c r="B78" s="353"/>
      <c r="C78" s="348" t="s">
        <v>338</v>
      </c>
      <c r="D78" s="175">
        <f>341.78+51.45</f>
        <v>393.22999999999996</v>
      </c>
      <c r="E78" s="175">
        <v>1.05</v>
      </c>
      <c r="F78" s="388">
        <v>2</v>
      </c>
      <c r="G78" s="176"/>
    </row>
    <row r="79" spans="2:7" ht="36.75" customHeight="1">
      <c r="B79" s="353"/>
      <c r="C79" s="349"/>
      <c r="D79" s="175">
        <f>62.18+45.76</f>
        <v>107.94</v>
      </c>
      <c r="E79" s="175">
        <v>1.23</v>
      </c>
      <c r="F79" s="388">
        <v>2</v>
      </c>
      <c r="G79" s="176"/>
    </row>
    <row r="80" spans="2:7" ht="36.75" customHeight="1">
      <c r="B80" s="353"/>
      <c r="C80" s="348" t="s">
        <v>339</v>
      </c>
      <c r="D80" s="175">
        <v>0</v>
      </c>
      <c r="E80" s="175">
        <v>1.05</v>
      </c>
      <c r="F80" s="388">
        <v>0</v>
      </c>
      <c r="G80" s="177" t="s">
        <v>304</v>
      </c>
    </row>
    <row r="81" spans="2:7" ht="36.75" customHeight="1">
      <c r="B81" s="353"/>
      <c r="C81" s="349"/>
      <c r="D81" s="175">
        <v>46.05</v>
      </c>
      <c r="E81" s="175">
        <v>1.23</v>
      </c>
      <c r="F81" s="388">
        <v>1</v>
      </c>
      <c r="G81" s="176"/>
    </row>
    <row r="82" spans="2:7" ht="36.75" customHeight="1">
      <c r="B82" s="353"/>
      <c r="C82" s="174" t="s">
        <v>340</v>
      </c>
      <c r="D82" s="175">
        <v>0</v>
      </c>
      <c r="E82" s="175">
        <v>3</v>
      </c>
      <c r="F82" s="388">
        <v>0</v>
      </c>
      <c r="G82" s="177" t="s">
        <v>304</v>
      </c>
    </row>
    <row r="83" spans="2:7" ht="36.75" customHeight="1">
      <c r="B83" s="353"/>
      <c r="C83" s="348" t="s">
        <v>341</v>
      </c>
      <c r="D83" s="175">
        <v>43.04</v>
      </c>
      <c r="E83" s="175">
        <v>3</v>
      </c>
      <c r="F83" s="388">
        <v>3</v>
      </c>
      <c r="G83" s="176"/>
    </row>
    <row r="84" spans="2:7" ht="36.75" customHeight="1">
      <c r="B84" s="353"/>
      <c r="C84" s="349"/>
      <c r="D84" s="175">
        <v>69.56</v>
      </c>
      <c r="E84" s="175">
        <v>3.51</v>
      </c>
      <c r="F84" s="388">
        <v>1</v>
      </c>
      <c r="G84" s="176"/>
    </row>
    <row r="85" spans="2:7" ht="36.75" customHeight="1">
      <c r="B85" s="353"/>
      <c r="C85" s="356" t="s">
        <v>342</v>
      </c>
      <c r="D85" s="175">
        <f>229.96+113.4</f>
        <v>343.36</v>
      </c>
      <c r="E85" s="175">
        <v>3</v>
      </c>
      <c r="F85" s="388">
        <v>2</v>
      </c>
      <c r="G85" s="176"/>
    </row>
    <row r="86" spans="2:7" ht="36.75" customHeight="1">
      <c r="B86" s="353"/>
      <c r="C86" s="357"/>
      <c r="D86" s="175">
        <f>158.09+80.1</f>
        <v>238.19</v>
      </c>
      <c r="E86" s="175">
        <v>3.51</v>
      </c>
      <c r="F86" s="388">
        <v>2</v>
      </c>
      <c r="G86" s="176"/>
    </row>
    <row r="87" spans="2:7" ht="36.75" customHeight="1">
      <c r="B87" s="353"/>
      <c r="C87" s="179" t="s">
        <v>343</v>
      </c>
      <c r="D87" s="175">
        <v>24.99</v>
      </c>
      <c r="E87" s="175">
        <v>1.05</v>
      </c>
      <c r="F87" s="388">
        <v>2</v>
      </c>
      <c r="G87" s="176"/>
    </row>
    <row r="88" spans="2:7" ht="36.75" customHeight="1">
      <c r="B88" s="353"/>
      <c r="C88" s="179" t="s">
        <v>343</v>
      </c>
      <c r="D88" s="175">
        <f>61.25+88.2</f>
        <v>149.44999999999999</v>
      </c>
      <c r="E88" s="175">
        <v>3.5</v>
      </c>
      <c r="F88" s="388">
        <v>2</v>
      </c>
      <c r="G88" s="177"/>
    </row>
    <row r="89" spans="2:7" ht="36.75" customHeight="1">
      <c r="B89" s="353"/>
      <c r="C89" s="356" t="s">
        <v>344</v>
      </c>
      <c r="D89" s="175">
        <f>106.5+157.5</f>
        <v>264</v>
      </c>
      <c r="E89" s="175">
        <v>3</v>
      </c>
      <c r="F89" s="390">
        <v>2</v>
      </c>
      <c r="G89" s="176"/>
    </row>
    <row r="90" spans="2:7" ht="36.75" customHeight="1">
      <c r="B90" s="353"/>
      <c r="C90" s="357"/>
      <c r="D90" s="175">
        <v>87.12</v>
      </c>
      <c r="E90" s="175">
        <v>4.68</v>
      </c>
      <c r="F90" s="390">
        <v>1</v>
      </c>
      <c r="G90" s="176"/>
    </row>
    <row r="91" spans="2:7" ht="29.25" customHeight="1">
      <c r="B91" s="353"/>
      <c r="C91" s="356" t="s">
        <v>345</v>
      </c>
      <c r="D91" s="175">
        <f>198.92+118.32</f>
        <v>317.24</v>
      </c>
      <c r="E91" s="175">
        <v>3</v>
      </c>
      <c r="F91" s="388">
        <v>3</v>
      </c>
      <c r="G91" s="176"/>
    </row>
    <row r="92" spans="2:7" ht="29.25" customHeight="1">
      <c r="B92" s="353"/>
      <c r="C92" s="357"/>
      <c r="D92" s="175">
        <f>95.55+40.75</f>
        <v>136.30000000000001</v>
      </c>
      <c r="E92" s="175">
        <v>4.68</v>
      </c>
      <c r="F92" s="388">
        <v>2</v>
      </c>
      <c r="G92" s="176"/>
    </row>
    <row r="93" spans="2:7" ht="29.25" customHeight="1">
      <c r="B93" s="353"/>
      <c r="C93" s="179" t="s">
        <v>346</v>
      </c>
      <c r="D93" s="175">
        <v>368.97</v>
      </c>
      <c r="E93" s="175">
        <v>5.27</v>
      </c>
      <c r="F93" s="388">
        <v>1</v>
      </c>
      <c r="G93" s="176"/>
    </row>
    <row r="94" spans="2:7" ht="29.25" customHeight="1">
      <c r="B94" s="353"/>
      <c r="C94" s="179" t="s">
        <v>347</v>
      </c>
      <c r="D94" s="175">
        <f>90.61+147.63</f>
        <v>238.24</v>
      </c>
      <c r="E94" s="175">
        <v>1.8</v>
      </c>
      <c r="F94" s="388">
        <v>1</v>
      </c>
      <c r="G94" s="176"/>
    </row>
    <row r="95" spans="2:7" ht="29.25" customHeight="1">
      <c r="B95" s="353"/>
      <c r="C95" s="179" t="s">
        <v>348</v>
      </c>
      <c r="D95" s="175">
        <v>239.42</v>
      </c>
      <c r="E95" s="175">
        <v>1.8</v>
      </c>
      <c r="F95" s="388">
        <v>2</v>
      </c>
      <c r="G95" s="176"/>
    </row>
    <row r="96" spans="2:7" ht="29.25" customHeight="1">
      <c r="B96" s="353"/>
      <c r="C96" s="356" t="s">
        <v>349</v>
      </c>
      <c r="D96" s="175">
        <f>239.4+1365.21</f>
        <v>1604.6100000000001</v>
      </c>
      <c r="E96" s="175">
        <v>1.8</v>
      </c>
      <c r="F96" s="388">
        <v>2</v>
      </c>
      <c r="G96" s="176"/>
    </row>
    <row r="97" spans="2:7" ht="29.25" customHeight="1">
      <c r="B97" s="353"/>
      <c r="C97" s="357"/>
      <c r="D97" s="175">
        <f>670.66+196.14</f>
        <v>866.8</v>
      </c>
      <c r="E97" s="175">
        <v>2.11</v>
      </c>
      <c r="F97" s="388">
        <v>2</v>
      </c>
      <c r="G97" s="176"/>
    </row>
    <row r="98" spans="2:7" ht="29.25" customHeight="1">
      <c r="B98" s="353"/>
      <c r="C98" s="356" t="s">
        <v>350</v>
      </c>
      <c r="D98" s="175">
        <v>477.54</v>
      </c>
      <c r="E98" s="175">
        <v>1.8</v>
      </c>
      <c r="F98" s="388">
        <v>1</v>
      </c>
      <c r="G98" s="176"/>
    </row>
    <row r="99" spans="2:7" ht="29.25" customHeight="1">
      <c r="B99" s="353"/>
      <c r="C99" s="357"/>
      <c r="D99" s="175">
        <f>238.53+49.35</f>
        <v>287.88</v>
      </c>
      <c r="E99" s="175">
        <v>2.11</v>
      </c>
      <c r="F99" s="388">
        <v>2</v>
      </c>
      <c r="G99" s="176"/>
    </row>
    <row r="100" spans="2:7" ht="29.25" customHeight="1">
      <c r="B100" s="353"/>
      <c r="C100" s="179" t="s">
        <v>351</v>
      </c>
      <c r="D100" s="175">
        <v>185.22</v>
      </c>
      <c r="E100" s="175">
        <v>1.05</v>
      </c>
      <c r="F100" s="388">
        <v>1</v>
      </c>
      <c r="G100" s="176"/>
    </row>
    <row r="101" spans="2:7" ht="29.25" customHeight="1">
      <c r="B101" s="353"/>
      <c r="C101" s="179" t="s">
        <v>352</v>
      </c>
      <c r="D101" s="175">
        <v>306.18</v>
      </c>
      <c r="E101" s="175">
        <v>1.8</v>
      </c>
      <c r="F101" s="390">
        <v>1</v>
      </c>
      <c r="G101" s="176"/>
    </row>
    <row r="102" spans="2:7" ht="29.25" customHeight="1">
      <c r="B102" s="353"/>
      <c r="C102" s="179" t="s">
        <v>352</v>
      </c>
      <c r="D102" s="175">
        <v>46.82</v>
      </c>
      <c r="E102" s="175">
        <v>2.11</v>
      </c>
      <c r="F102" s="390">
        <v>1</v>
      </c>
      <c r="G102" s="176"/>
    </row>
    <row r="103" spans="2:7" ht="29.25" customHeight="1">
      <c r="B103" s="353"/>
      <c r="C103" s="179" t="s">
        <v>353</v>
      </c>
      <c r="D103" s="175">
        <v>91.14</v>
      </c>
      <c r="E103" s="175">
        <v>1.05</v>
      </c>
      <c r="F103" s="388">
        <v>1</v>
      </c>
      <c r="G103" s="176"/>
    </row>
    <row r="104" spans="2:7" ht="29.25" customHeight="1">
      <c r="B104" s="353"/>
      <c r="C104" s="179" t="s">
        <v>354</v>
      </c>
      <c r="D104" s="175">
        <v>195.3</v>
      </c>
      <c r="E104" s="175">
        <v>1.8</v>
      </c>
      <c r="F104" s="388">
        <v>3</v>
      </c>
      <c r="G104" s="176"/>
    </row>
    <row r="105" spans="2:7" ht="29.25" customHeight="1">
      <c r="B105" s="353"/>
      <c r="C105" s="356" t="s">
        <v>355</v>
      </c>
      <c r="D105" s="175">
        <f>71.4+195.3+110.25</f>
        <v>376.95000000000005</v>
      </c>
      <c r="E105" s="175">
        <v>3</v>
      </c>
      <c r="F105" s="388">
        <v>3</v>
      </c>
      <c r="G105" s="176"/>
    </row>
    <row r="106" spans="2:7" ht="29.25" customHeight="1">
      <c r="B106" s="353"/>
      <c r="C106" s="357"/>
      <c r="D106" s="175">
        <f>60.07+112.42+237.13</f>
        <v>409.62</v>
      </c>
      <c r="E106" s="175">
        <v>3.51</v>
      </c>
      <c r="F106" s="388">
        <v>3</v>
      </c>
      <c r="G106" s="176"/>
    </row>
    <row r="107" spans="2:7" ht="29.25" customHeight="1">
      <c r="B107" s="353"/>
      <c r="C107" s="179" t="s">
        <v>356</v>
      </c>
      <c r="D107" s="175">
        <v>137.81</v>
      </c>
      <c r="E107" s="175">
        <v>3.5</v>
      </c>
      <c r="F107" s="388">
        <v>1</v>
      </c>
      <c r="G107" s="176"/>
    </row>
    <row r="108" spans="2:7" ht="29.25" customHeight="1">
      <c r="B108" s="354"/>
      <c r="C108" s="179" t="s">
        <v>356</v>
      </c>
      <c r="D108" s="175">
        <v>1005.48</v>
      </c>
      <c r="E108" s="175">
        <v>1.05</v>
      </c>
      <c r="F108" s="388">
        <v>1</v>
      </c>
      <c r="G108" s="176"/>
    </row>
    <row r="109" spans="2:7" ht="25.5" customHeight="1">
      <c r="B109" s="182" t="s">
        <v>53</v>
      </c>
      <c r="C109" s="179"/>
      <c r="D109" s="183">
        <f>SUM(D8:D108)</f>
        <v>39369.78</v>
      </c>
      <c r="E109" s="183">
        <f>SUM(E8:E108)</f>
        <v>304.69000000000011</v>
      </c>
      <c r="F109" s="391">
        <f>SUM(F8:F108)</f>
        <v>201</v>
      </c>
      <c r="G109" s="184"/>
    </row>
    <row r="110" spans="2:7" ht="28.8">
      <c r="B110" s="364" t="s">
        <v>54</v>
      </c>
      <c r="C110" s="185" t="s">
        <v>357</v>
      </c>
      <c r="D110" s="178">
        <v>0</v>
      </c>
      <c r="E110" s="178">
        <v>42</v>
      </c>
      <c r="F110" s="227">
        <v>4</v>
      </c>
      <c r="G110" s="177" t="s">
        <v>358</v>
      </c>
    </row>
    <row r="111" spans="2:7" ht="28.8">
      <c r="B111" s="365"/>
      <c r="C111" s="185" t="s">
        <v>359</v>
      </c>
      <c r="D111" s="175">
        <v>124</v>
      </c>
      <c r="E111" s="175">
        <v>124</v>
      </c>
      <c r="F111" s="388">
        <v>1</v>
      </c>
      <c r="G111" s="186"/>
    </row>
    <row r="112" spans="2:7" ht="25.5" customHeight="1">
      <c r="B112" s="365"/>
      <c r="C112" s="185" t="s">
        <v>360</v>
      </c>
      <c r="D112" s="175">
        <v>0</v>
      </c>
      <c r="E112" s="175">
        <v>37</v>
      </c>
      <c r="F112" s="388">
        <v>2</v>
      </c>
      <c r="G112" s="177" t="s">
        <v>358</v>
      </c>
    </row>
    <row r="113" spans="2:9" ht="24" customHeight="1">
      <c r="B113" s="366"/>
      <c r="C113" s="185" t="s">
        <v>361</v>
      </c>
      <c r="D113" s="175">
        <v>0</v>
      </c>
      <c r="E113" s="175">
        <v>17</v>
      </c>
      <c r="F113" s="388">
        <v>0</v>
      </c>
      <c r="G113" s="186" t="s">
        <v>304</v>
      </c>
    </row>
    <row r="114" spans="2:9" ht="25.5" customHeight="1">
      <c r="B114" s="182" t="s">
        <v>53</v>
      </c>
      <c r="C114" s="185"/>
      <c r="D114" s="187">
        <f>SUM(D110:D113)</f>
        <v>124</v>
      </c>
      <c r="E114" s="187">
        <f>SUM(E110:E113)</f>
        <v>220</v>
      </c>
      <c r="F114" s="392">
        <f>SUM(F110:F113)</f>
        <v>7</v>
      </c>
      <c r="G114" s="184"/>
      <c r="H114" s="188"/>
      <c r="I114" s="188"/>
    </row>
    <row r="115" spans="2:9" ht="31.5" customHeight="1">
      <c r="B115" s="189" t="s">
        <v>58</v>
      </c>
      <c r="C115" s="190"/>
      <c r="D115" s="190"/>
      <c r="E115" s="190"/>
      <c r="F115" s="190"/>
      <c r="G115" s="191"/>
    </row>
    <row r="116" spans="2:9" s="192" customFormat="1" ht="53.25" customHeight="1">
      <c r="B116" s="171" t="s">
        <v>5</v>
      </c>
      <c r="C116" s="171" t="s">
        <v>59</v>
      </c>
      <c r="D116" s="172" t="s">
        <v>6</v>
      </c>
      <c r="E116" s="172" t="s">
        <v>60</v>
      </c>
      <c r="F116" s="171" t="s">
        <v>8</v>
      </c>
      <c r="G116" s="173" t="s">
        <v>61</v>
      </c>
    </row>
    <row r="117" spans="2:9" ht="33" customHeight="1">
      <c r="B117" s="185" t="s">
        <v>62</v>
      </c>
      <c r="C117" s="193"/>
      <c r="D117" s="385">
        <v>0</v>
      </c>
      <c r="E117" s="385">
        <v>0</v>
      </c>
      <c r="F117" s="389">
        <v>0</v>
      </c>
      <c r="G117" s="186" t="s">
        <v>304</v>
      </c>
    </row>
    <row r="118" spans="2:9" ht="24.75" customHeight="1">
      <c r="B118" s="182" t="s">
        <v>53</v>
      </c>
      <c r="C118" s="194"/>
      <c r="D118" s="32">
        <f>SUM(D117)</f>
        <v>0</v>
      </c>
      <c r="E118" s="32">
        <f>SUM(E117)</f>
        <v>0</v>
      </c>
      <c r="F118" s="393">
        <f>SUM(F117)</f>
        <v>0</v>
      </c>
      <c r="G118" s="176"/>
    </row>
    <row r="119" spans="2:9" ht="28.5" customHeight="1">
      <c r="B119" s="361" t="s">
        <v>63</v>
      </c>
      <c r="C119" s="185" t="s">
        <v>362</v>
      </c>
      <c r="D119" s="386">
        <f>78+7105.91+3461+476+578+901.67+338.3+148+520.86+85+85+15.67</f>
        <v>13793.41</v>
      </c>
      <c r="E119" s="386">
        <v>13587</v>
      </c>
      <c r="F119" s="394">
        <v>163</v>
      </c>
      <c r="G119" s="177" t="s">
        <v>363</v>
      </c>
    </row>
    <row r="120" spans="2:9" ht="28.5" customHeight="1">
      <c r="B120" s="362"/>
      <c r="C120" s="185" t="s">
        <v>364</v>
      </c>
      <c r="D120" s="386">
        <f>4500+200+800+588.93+178+345.2+146.13+23.3</f>
        <v>6781.56</v>
      </c>
      <c r="E120" s="386">
        <v>6600</v>
      </c>
      <c r="F120" s="394">
        <v>67</v>
      </c>
      <c r="G120" s="177" t="s">
        <v>363</v>
      </c>
    </row>
    <row r="121" spans="2:9" ht="28.5" customHeight="1">
      <c r="B121" s="362"/>
      <c r="C121" s="185" t="s">
        <v>365</v>
      </c>
      <c r="D121" s="386">
        <f>818+171+49+79+189.14+60+23</f>
        <v>1389.1399999999999</v>
      </c>
      <c r="E121" s="386">
        <v>1363</v>
      </c>
      <c r="F121" s="394">
        <v>27</v>
      </c>
      <c r="G121" s="177" t="s">
        <v>363</v>
      </c>
    </row>
    <row r="122" spans="2:9" ht="28.5" customHeight="1">
      <c r="B122" s="362"/>
      <c r="C122" s="185" t="s">
        <v>366</v>
      </c>
      <c r="D122" s="385">
        <f>748+87</f>
        <v>835</v>
      </c>
      <c r="E122" s="385">
        <v>929</v>
      </c>
      <c r="F122" s="394">
        <v>9</v>
      </c>
      <c r="G122" s="177"/>
    </row>
    <row r="123" spans="2:9" ht="28.5" customHeight="1">
      <c r="B123" s="363"/>
      <c r="C123" s="185" t="s">
        <v>367</v>
      </c>
      <c r="D123" s="385">
        <f>2251.28+54+13.3</f>
        <v>2318.5800000000004</v>
      </c>
      <c r="E123" s="385">
        <v>2802</v>
      </c>
      <c r="F123" s="394">
        <v>53</v>
      </c>
      <c r="G123" s="177"/>
    </row>
    <row r="124" spans="2:9" ht="28.5" customHeight="1">
      <c r="B124" s="182" t="s">
        <v>53</v>
      </c>
      <c r="C124" s="194"/>
      <c r="D124" s="387">
        <f>SUM(D119:D123)</f>
        <v>25117.690000000002</v>
      </c>
      <c r="E124" s="387">
        <f>SUM(E119:E123)</f>
        <v>25281</v>
      </c>
      <c r="F124" s="395">
        <f>SUM(F119:F123)</f>
        <v>319</v>
      </c>
      <c r="G124" s="176"/>
    </row>
    <row r="125" spans="2:9" ht="24" customHeight="1">
      <c r="B125" s="361" t="s">
        <v>64</v>
      </c>
      <c r="C125" s="185" t="s">
        <v>368</v>
      </c>
      <c r="D125" s="385">
        <v>1894.62</v>
      </c>
      <c r="E125" s="385">
        <v>1894.62</v>
      </c>
      <c r="F125" s="388">
        <v>1</v>
      </c>
      <c r="G125" s="177"/>
    </row>
    <row r="126" spans="2:9" ht="24" customHeight="1">
      <c r="B126" s="362"/>
      <c r="C126" s="185" t="s">
        <v>369</v>
      </c>
      <c r="D126" s="385">
        <v>0</v>
      </c>
      <c r="E126" s="385">
        <v>0</v>
      </c>
      <c r="F126" s="388">
        <v>0</v>
      </c>
      <c r="G126" s="186" t="s">
        <v>304</v>
      </c>
    </row>
    <row r="127" spans="2:9" ht="24" customHeight="1">
      <c r="B127" s="363"/>
      <c r="C127" s="185" t="s">
        <v>370</v>
      </c>
      <c r="D127" s="385">
        <v>70958.759999999995</v>
      </c>
      <c r="E127" s="385">
        <v>70958.759999999995</v>
      </c>
      <c r="F127" s="388">
        <v>1</v>
      </c>
      <c r="G127" s="177"/>
    </row>
    <row r="128" spans="2:9" ht="27" customHeight="1">
      <c r="B128" s="182" t="s">
        <v>53</v>
      </c>
      <c r="C128" s="194"/>
      <c r="D128" s="387">
        <f>SUM(D125:D127)</f>
        <v>72853.37999999999</v>
      </c>
      <c r="E128" s="387">
        <f>SUM(E125:E127)</f>
        <v>72853.37999999999</v>
      </c>
      <c r="F128" s="395">
        <f>SUM(F125:F127)</f>
        <v>2</v>
      </c>
      <c r="G128" s="176"/>
    </row>
    <row r="129" spans="2:7" ht="30" customHeight="1">
      <c r="B129" s="361" t="s">
        <v>65</v>
      </c>
      <c r="C129" s="185" t="s">
        <v>371</v>
      </c>
      <c r="D129" s="385">
        <v>3144.65</v>
      </c>
      <c r="E129" s="385">
        <v>3144.65</v>
      </c>
      <c r="F129" s="388">
        <v>1</v>
      </c>
      <c r="G129" s="176"/>
    </row>
    <row r="130" spans="2:7" ht="32.4" customHeight="1">
      <c r="B130" s="363"/>
      <c r="C130" s="196" t="s">
        <v>372</v>
      </c>
      <c r="D130" s="385">
        <v>346.27</v>
      </c>
      <c r="E130" s="385">
        <v>692.55</v>
      </c>
      <c r="F130" s="388">
        <v>1</v>
      </c>
      <c r="G130" s="176"/>
    </row>
    <row r="131" spans="2:7" ht="24" customHeight="1">
      <c r="B131" s="182" t="s">
        <v>53</v>
      </c>
      <c r="C131" s="194"/>
      <c r="D131" s="387">
        <f>SUM(D129:D130)</f>
        <v>3490.92</v>
      </c>
      <c r="E131" s="387">
        <f>SUM(E129:E130)</f>
        <v>3837.2</v>
      </c>
      <c r="F131" s="395">
        <f>SUM(F129:F130)</f>
        <v>2</v>
      </c>
      <c r="G131" s="176"/>
    </row>
    <row r="132" spans="2:7" ht="30.75" customHeight="1">
      <c r="B132" s="185" t="s">
        <v>73</v>
      </c>
      <c r="C132" s="197"/>
      <c r="D132" s="385">
        <v>0</v>
      </c>
      <c r="E132" s="385">
        <v>0</v>
      </c>
      <c r="F132" s="389">
        <v>0</v>
      </c>
      <c r="G132" s="186" t="s">
        <v>304</v>
      </c>
    </row>
    <row r="133" spans="2:7" ht="30" customHeight="1">
      <c r="B133" s="182" t="s">
        <v>53</v>
      </c>
      <c r="C133" s="194"/>
      <c r="D133" s="195">
        <f>SUM(D132)</f>
        <v>0</v>
      </c>
      <c r="E133" s="195">
        <f>SUM(E132)</f>
        <v>0</v>
      </c>
      <c r="F133" s="393">
        <f>SUM(F132)</f>
        <v>0</v>
      </c>
      <c r="G133" s="176"/>
    </row>
    <row r="134" spans="2:7" ht="17.25" customHeight="1">
      <c r="B134" s="198"/>
      <c r="C134" s="198"/>
      <c r="D134" s="198"/>
      <c r="E134" s="198"/>
      <c r="F134" s="198"/>
      <c r="G134" s="198"/>
    </row>
    <row r="135" spans="2:7" s="192" customFormat="1" ht="43.2">
      <c r="B135" s="182" t="s">
        <v>373</v>
      </c>
      <c r="C135" s="199"/>
      <c r="D135" s="183">
        <f>D109+D114+D118+D124+D128+D131+D133</f>
        <v>140955.76999999999</v>
      </c>
      <c r="E135" s="183">
        <f>E109+E114+E118+E124+E128+E131+E133</f>
        <v>102496.26999999999</v>
      </c>
      <c r="F135" s="206">
        <f>F109+F114+F118+F124+F128+F131+F133</f>
        <v>531</v>
      </c>
      <c r="G135" s="176"/>
    </row>
    <row r="136" spans="2:7">
      <c r="B136" s="200"/>
      <c r="C136" s="201"/>
      <c r="D136" s="202"/>
      <c r="E136" s="202"/>
      <c r="F136" s="203"/>
    </row>
    <row r="137" spans="2:7">
      <c r="B137" s="200"/>
      <c r="C137" s="201"/>
      <c r="D137" s="202"/>
      <c r="E137" s="202"/>
      <c r="F137" s="203"/>
    </row>
    <row r="138" spans="2:7">
      <c r="B138" s="204" t="s">
        <v>375</v>
      </c>
      <c r="C138" s="167"/>
      <c r="D138" s="167"/>
      <c r="E138" s="167"/>
    </row>
    <row r="139" spans="2:7">
      <c r="B139" s="205"/>
      <c r="C139" s="167"/>
      <c r="D139" s="167"/>
      <c r="E139" s="167"/>
    </row>
    <row r="140" spans="2:7">
      <c r="B140" s="163" t="s">
        <v>121</v>
      </c>
      <c r="C140" s="167"/>
      <c r="D140" s="167"/>
      <c r="E140" s="167"/>
    </row>
    <row r="141" spans="2:7">
      <c r="B141" s="163" t="s">
        <v>374</v>
      </c>
      <c r="C141" s="167"/>
      <c r="D141" s="167"/>
      <c r="E141" s="167"/>
    </row>
    <row r="142" spans="2:7">
      <c r="B142" s="163" t="s">
        <v>376</v>
      </c>
      <c r="C142" s="167"/>
      <c r="D142" s="167"/>
      <c r="E142" s="167"/>
    </row>
    <row r="143" spans="2:7">
      <c r="C143" s="167"/>
      <c r="D143" s="167"/>
      <c r="E143" s="167"/>
    </row>
    <row r="144" spans="2:7">
      <c r="B144" s="167" t="s">
        <v>75</v>
      </c>
      <c r="C144" s="167"/>
      <c r="D144" s="167"/>
      <c r="E144" s="167"/>
    </row>
    <row r="145" spans="2:5">
      <c r="B145" s="167"/>
      <c r="C145" s="167"/>
      <c r="D145" s="167"/>
      <c r="E145" s="167"/>
    </row>
    <row r="146" spans="2:5">
      <c r="B146" s="167" t="s">
        <v>83</v>
      </c>
      <c r="C146" s="192"/>
      <c r="D146" s="167"/>
      <c r="E146" s="167"/>
    </row>
    <row r="147" spans="2:5" ht="15.75" customHeight="1"/>
  </sheetData>
  <mergeCells count="36">
    <mergeCell ref="B125:B127"/>
    <mergeCell ref="B129:B130"/>
    <mergeCell ref="C91:C92"/>
    <mergeCell ref="C96:C97"/>
    <mergeCell ref="C98:C99"/>
    <mergeCell ref="C105:C106"/>
    <mergeCell ref="B110:B113"/>
    <mergeCell ref="B119:B123"/>
    <mergeCell ref="C89:C90"/>
    <mergeCell ref="C53:C54"/>
    <mergeCell ref="C60:C61"/>
    <mergeCell ref="C62:C63"/>
    <mergeCell ref="C65:C66"/>
    <mergeCell ref="C67:C69"/>
    <mergeCell ref="C70:C71"/>
    <mergeCell ref="C76:C77"/>
    <mergeCell ref="C78:C79"/>
    <mergeCell ref="C80:C81"/>
    <mergeCell ref="C83:C84"/>
    <mergeCell ref="C85:C86"/>
    <mergeCell ref="C50:C51"/>
    <mergeCell ref="B4:G4"/>
    <mergeCell ref="B5:G5"/>
    <mergeCell ref="B6:G6"/>
    <mergeCell ref="B8:B108"/>
    <mergeCell ref="C14:C15"/>
    <mergeCell ref="C16:C17"/>
    <mergeCell ref="C18:C19"/>
    <mergeCell ref="C20:C21"/>
    <mergeCell ref="C24:C27"/>
    <mergeCell ref="C32:C33"/>
    <mergeCell ref="C34:C36"/>
    <mergeCell ref="C37:C40"/>
    <mergeCell ref="C41:C43"/>
    <mergeCell ref="C44:C45"/>
    <mergeCell ref="C46:C49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36EA7A-F6AF-4987-A948-93BDEFAAD45E}">
  <dimension ref="A1:J82"/>
  <sheetViews>
    <sheetView topLeftCell="A65" workbookViewId="0">
      <selection activeCell="B81" sqref="B81:D81"/>
    </sheetView>
  </sheetViews>
  <sheetFormatPr defaultColWidth="9.21875" defaultRowHeight="14.4"/>
  <cols>
    <col min="1" max="1" width="3.44140625" customWidth="1"/>
    <col min="2" max="2" width="45.21875" customWidth="1"/>
    <col min="3" max="3" width="31.21875" style="130" customWidth="1"/>
    <col min="4" max="4" width="16.77734375" style="130" customWidth="1"/>
    <col min="5" max="5" width="24.77734375" style="12" customWidth="1"/>
    <col min="6" max="6" width="15.21875" style="130" customWidth="1"/>
    <col min="7" max="7" width="45.21875" customWidth="1"/>
    <col min="8" max="8" width="11.5546875" bestFit="1" customWidth="1"/>
    <col min="9" max="9" width="12.77734375" customWidth="1"/>
  </cols>
  <sheetData>
    <row r="1" spans="2:9" ht="30" customHeight="1">
      <c r="B1" s="106" t="s">
        <v>0</v>
      </c>
    </row>
    <row r="2" spans="2:9" ht="25.5" customHeight="1">
      <c r="B2" s="131" t="s">
        <v>180</v>
      </c>
      <c r="D2" s="132"/>
      <c r="E2" s="132"/>
    </row>
    <row r="3" spans="2:9" ht="12.75" customHeight="1">
      <c r="B3" s="106"/>
      <c r="D3" s="132"/>
      <c r="E3" s="132"/>
    </row>
    <row r="4" spans="2:9" ht="32.25" customHeight="1">
      <c r="B4" s="269" t="s">
        <v>177</v>
      </c>
      <c r="C4" s="269"/>
      <c r="D4" s="269"/>
      <c r="E4" s="269"/>
      <c r="F4" s="269"/>
      <c r="G4" s="269"/>
    </row>
    <row r="5" spans="2:9" ht="31.5" customHeight="1">
      <c r="B5" s="269" t="s">
        <v>181</v>
      </c>
      <c r="C5" s="269"/>
      <c r="D5" s="269"/>
      <c r="E5" s="269"/>
      <c r="F5" s="269"/>
      <c r="G5" s="269"/>
    </row>
    <row r="6" spans="2:9" ht="26.25" customHeight="1">
      <c r="B6" s="270" t="s">
        <v>4</v>
      </c>
      <c r="C6" s="270"/>
      <c r="D6" s="270"/>
      <c r="E6" s="270"/>
      <c r="F6" s="270"/>
      <c r="G6" s="270"/>
    </row>
    <row r="7" spans="2:9" ht="63.75" customHeight="1">
      <c r="B7" s="133" t="s">
        <v>5</v>
      </c>
      <c r="C7" s="134" t="s">
        <v>88</v>
      </c>
      <c r="D7" s="134" t="s">
        <v>6</v>
      </c>
      <c r="E7" s="134" t="s">
        <v>7</v>
      </c>
      <c r="F7" s="134" t="s">
        <v>8</v>
      </c>
      <c r="G7" s="134" t="s">
        <v>9</v>
      </c>
    </row>
    <row r="8" spans="2:9" ht="36.75" customHeight="1">
      <c r="B8" s="313" t="s">
        <v>10</v>
      </c>
      <c r="C8" s="6" t="s">
        <v>182</v>
      </c>
      <c r="D8" s="147">
        <v>310.87</v>
      </c>
      <c r="E8" s="148">
        <v>3.15</v>
      </c>
      <c r="F8" s="34">
        <v>2</v>
      </c>
      <c r="G8" s="136"/>
    </row>
    <row r="9" spans="2:9" ht="36.75" customHeight="1">
      <c r="B9" s="313"/>
      <c r="C9" s="6" t="s">
        <v>183</v>
      </c>
      <c r="D9" s="147">
        <v>771.12</v>
      </c>
      <c r="E9" s="148">
        <v>3.15</v>
      </c>
      <c r="F9" s="34">
        <v>2</v>
      </c>
      <c r="G9" s="137"/>
      <c r="H9" s="138"/>
    </row>
    <row r="10" spans="2:9" ht="36.75" customHeight="1">
      <c r="B10" s="313"/>
      <c r="C10" s="6" t="s">
        <v>184</v>
      </c>
      <c r="D10" s="147">
        <v>415.01</v>
      </c>
      <c r="E10" s="148">
        <v>3.15</v>
      </c>
      <c r="F10" s="34">
        <v>1</v>
      </c>
      <c r="G10" s="137"/>
      <c r="H10" s="138"/>
    </row>
    <row r="11" spans="2:9" ht="36.75" customHeight="1">
      <c r="B11" s="313"/>
      <c r="C11" s="6" t="s">
        <v>185</v>
      </c>
      <c r="D11" s="147">
        <v>44.1</v>
      </c>
      <c r="E11" s="148">
        <v>2.25</v>
      </c>
      <c r="F11" s="34">
        <v>1</v>
      </c>
      <c r="G11" s="137"/>
      <c r="H11" s="138"/>
    </row>
    <row r="12" spans="2:9" ht="36.75" customHeight="1">
      <c r="B12" s="313"/>
      <c r="C12" s="6" t="s">
        <v>186</v>
      </c>
      <c r="D12" s="147">
        <v>805.08</v>
      </c>
      <c r="E12" s="148">
        <v>2.25</v>
      </c>
      <c r="F12" s="34">
        <v>5</v>
      </c>
      <c r="G12" s="137"/>
      <c r="I12" s="138"/>
    </row>
    <row r="13" spans="2:9" ht="36.75" customHeight="1">
      <c r="B13" s="313"/>
      <c r="C13" s="6" t="s">
        <v>187</v>
      </c>
      <c r="D13" s="147">
        <v>556.15</v>
      </c>
      <c r="E13" s="148">
        <v>3.15</v>
      </c>
      <c r="F13" s="34">
        <v>11</v>
      </c>
      <c r="G13" s="137"/>
      <c r="H13" s="138"/>
    </row>
    <row r="14" spans="2:9" ht="36.75" customHeight="1">
      <c r="B14" s="313"/>
      <c r="C14" s="6" t="s">
        <v>188</v>
      </c>
      <c r="D14" s="147">
        <v>2155.48</v>
      </c>
      <c r="E14" s="149">
        <v>2.25</v>
      </c>
      <c r="F14" s="34">
        <v>6</v>
      </c>
      <c r="G14" s="137"/>
      <c r="H14" s="138"/>
    </row>
    <row r="15" spans="2:9" ht="36.75" customHeight="1">
      <c r="B15" s="313"/>
      <c r="C15" s="6" t="s">
        <v>189</v>
      </c>
      <c r="D15" s="147">
        <v>2026.4</v>
      </c>
      <c r="E15" s="148">
        <v>2.5499999999999998</v>
      </c>
      <c r="F15" s="34">
        <v>8</v>
      </c>
      <c r="G15" s="137"/>
    </row>
    <row r="16" spans="2:9" ht="36.75" customHeight="1">
      <c r="B16" s="313"/>
      <c r="C16" s="6" t="s">
        <v>190</v>
      </c>
      <c r="D16" s="147">
        <v>1006.18</v>
      </c>
      <c r="E16" s="148">
        <v>2.25</v>
      </c>
      <c r="F16" s="34">
        <v>6</v>
      </c>
      <c r="G16" s="139"/>
    </row>
    <row r="17" spans="2:9" ht="36.75" customHeight="1">
      <c r="B17" s="313"/>
      <c r="C17" s="6" t="s">
        <v>191</v>
      </c>
      <c r="D17" s="147">
        <v>80.64</v>
      </c>
      <c r="E17" s="148">
        <v>2.25</v>
      </c>
      <c r="F17" s="34">
        <v>1</v>
      </c>
      <c r="G17" s="136"/>
    </row>
    <row r="18" spans="2:9" ht="36.75" customHeight="1">
      <c r="B18" s="313"/>
      <c r="C18" s="6" t="s">
        <v>192</v>
      </c>
      <c r="D18" s="147">
        <v>808.31</v>
      </c>
      <c r="E18" s="148">
        <v>3.15</v>
      </c>
      <c r="F18" s="34">
        <v>8</v>
      </c>
      <c r="G18" s="137"/>
      <c r="H18" s="138"/>
    </row>
    <row r="19" spans="2:9" ht="36.75" customHeight="1">
      <c r="B19" s="313"/>
      <c r="C19" s="6" t="s">
        <v>193</v>
      </c>
      <c r="D19" s="147">
        <v>4387.5</v>
      </c>
      <c r="E19" s="148">
        <v>2.25</v>
      </c>
      <c r="F19" s="34">
        <v>1</v>
      </c>
      <c r="G19" s="137"/>
      <c r="H19" s="138"/>
    </row>
    <row r="20" spans="2:9" ht="36.75" customHeight="1">
      <c r="B20" s="313"/>
      <c r="C20" s="6" t="s">
        <v>194</v>
      </c>
      <c r="D20" s="147">
        <v>4082.63</v>
      </c>
      <c r="E20" s="148">
        <v>2.25</v>
      </c>
      <c r="F20" s="34">
        <v>6</v>
      </c>
      <c r="G20" s="137"/>
    </row>
    <row r="21" spans="2:9" ht="36.75" customHeight="1">
      <c r="B21" s="313"/>
      <c r="C21" s="6" t="s">
        <v>195</v>
      </c>
      <c r="D21" s="147">
        <v>104.63</v>
      </c>
      <c r="E21" s="148">
        <v>2.25</v>
      </c>
      <c r="F21" s="34">
        <v>1</v>
      </c>
      <c r="G21" s="136"/>
      <c r="I21" s="140"/>
    </row>
    <row r="22" spans="2:9" ht="36.75" customHeight="1">
      <c r="B22" s="313"/>
      <c r="C22" s="6" t="s">
        <v>196</v>
      </c>
      <c r="D22" s="147">
        <v>4470.6899999999996</v>
      </c>
      <c r="E22" s="148">
        <v>3.15</v>
      </c>
      <c r="F22" s="34">
        <v>3</v>
      </c>
      <c r="G22" s="136"/>
    </row>
    <row r="23" spans="2:9" ht="36.75" customHeight="1">
      <c r="B23" s="313"/>
      <c r="C23" s="6" t="s">
        <v>197</v>
      </c>
      <c r="D23" s="147">
        <v>1601.22</v>
      </c>
      <c r="E23" s="148">
        <v>3.15</v>
      </c>
      <c r="F23" s="34">
        <v>12</v>
      </c>
      <c r="G23" s="137"/>
      <c r="H23" s="138"/>
    </row>
    <row r="24" spans="2:9" ht="36.75" customHeight="1">
      <c r="B24" s="313"/>
      <c r="C24" s="6" t="s">
        <v>198</v>
      </c>
      <c r="D24" s="147">
        <v>438.96</v>
      </c>
      <c r="E24" s="148">
        <v>2.25</v>
      </c>
      <c r="F24" s="34">
        <v>3</v>
      </c>
      <c r="G24" s="137"/>
      <c r="H24" s="138"/>
    </row>
    <row r="25" spans="2:9" ht="36.75" customHeight="1">
      <c r="B25" s="313"/>
      <c r="C25" s="6" t="s">
        <v>198</v>
      </c>
      <c r="D25" s="147">
        <v>0</v>
      </c>
      <c r="E25" s="148">
        <v>2.25</v>
      </c>
      <c r="F25" s="34">
        <v>0</v>
      </c>
      <c r="G25" s="135" t="s">
        <v>84</v>
      </c>
    </row>
    <row r="26" spans="2:9" ht="36.75" customHeight="1">
      <c r="B26" s="313"/>
      <c r="C26" s="6" t="s">
        <v>199</v>
      </c>
      <c r="D26" s="147">
        <v>34.020000000000003</v>
      </c>
      <c r="E26" s="148">
        <v>2.25</v>
      </c>
      <c r="F26" s="34">
        <v>1</v>
      </c>
      <c r="G26" s="137"/>
    </row>
    <row r="27" spans="2:9" ht="36.75" customHeight="1">
      <c r="B27" s="313"/>
      <c r="C27" s="6" t="s">
        <v>200</v>
      </c>
      <c r="D27" s="147">
        <v>0</v>
      </c>
      <c r="E27" s="148">
        <v>2.25</v>
      </c>
      <c r="F27" s="34">
        <v>0</v>
      </c>
      <c r="G27" s="135" t="s">
        <v>84</v>
      </c>
    </row>
    <row r="28" spans="2:9" ht="36.75" customHeight="1">
      <c r="B28" s="313"/>
      <c r="C28" s="6" t="s">
        <v>201</v>
      </c>
      <c r="D28" s="147">
        <v>0</v>
      </c>
      <c r="E28" s="148">
        <v>3.15</v>
      </c>
      <c r="F28" s="34">
        <v>0</v>
      </c>
      <c r="G28" s="135" t="s">
        <v>84</v>
      </c>
    </row>
    <row r="29" spans="2:9" ht="36.75" customHeight="1">
      <c r="B29" s="313"/>
      <c r="C29" s="6" t="s">
        <v>202</v>
      </c>
      <c r="D29" s="147">
        <v>0</v>
      </c>
      <c r="E29" s="148">
        <v>2.25</v>
      </c>
      <c r="F29" s="34">
        <v>0</v>
      </c>
      <c r="G29" s="135" t="s">
        <v>84</v>
      </c>
    </row>
    <row r="30" spans="2:9" ht="36.75" customHeight="1">
      <c r="B30" s="313"/>
      <c r="C30" s="6" t="s">
        <v>203</v>
      </c>
      <c r="D30" s="147">
        <v>0</v>
      </c>
      <c r="E30" s="148">
        <v>3.15</v>
      </c>
      <c r="F30" s="34">
        <v>2</v>
      </c>
      <c r="G30" s="137"/>
    </row>
    <row r="31" spans="2:9" ht="36.75" customHeight="1">
      <c r="B31" s="313"/>
      <c r="C31" s="6" t="s">
        <v>204</v>
      </c>
      <c r="D31" s="147">
        <v>230.26</v>
      </c>
      <c r="E31" s="148">
        <v>3.15</v>
      </c>
      <c r="F31" s="34">
        <v>2</v>
      </c>
      <c r="G31" s="137"/>
      <c r="H31" s="138"/>
      <c r="I31" s="80"/>
    </row>
    <row r="32" spans="2:9" ht="36.75" customHeight="1">
      <c r="B32" s="313"/>
      <c r="C32" s="6" t="s">
        <v>205</v>
      </c>
      <c r="D32" s="147">
        <v>5371.57</v>
      </c>
      <c r="E32" s="148">
        <v>4.5</v>
      </c>
      <c r="F32" s="34">
        <v>10</v>
      </c>
      <c r="G32" s="137"/>
      <c r="H32" s="138"/>
      <c r="I32" s="80"/>
    </row>
    <row r="33" spans="2:9" ht="36.75" customHeight="1">
      <c r="B33" s="313"/>
      <c r="C33" s="6" t="s">
        <v>206</v>
      </c>
      <c r="D33" s="147">
        <v>402.39</v>
      </c>
      <c r="E33" s="148">
        <v>3.15</v>
      </c>
      <c r="F33" s="34">
        <v>2</v>
      </c>
      <c r="G33" s="137"/>
      <c r="H33" s="138"/>
    </row>
    <row r="34" spans="2:9" ht="36.75" customHeight="1">
      <c r="B34" s="313"/>
      <c r="C34" s="6" t="s">
        <v>207</v>
      </c>
      <c r="D34" s="147">
        <v>169.28</v>
      </c>
      <c r="E34" s="148">
        <v>2.25</v>
      </c>
      <c r="F34" s="34">
        <v>2</v>
      </c>
      <c r="G34" s="137"/>
      <c r="H34" s="138"/>
    </row>
    <row r="35" spans="2:9" ht="36.75" customHeight="1">
      <c r="B35" s="313"/>
      <c r="C35" s="6" t="s">
        <v>208</v>
      </c>
      <c r="D35" s="147">
        <v>1246.8499999999999</v>
      </c>
      <c r="E35" s="148">
        <v>3.15</v>
      </c>
      <c r="F35" s="34">
        <v>10</v>
      </c>
      <c r="G35" s="139"/>
      <c r="H35" s="138"/>
    </row>
    <row r="36" spans="2:9" ht="36.75" customHeight="1">
      <c r="B36" s="313"/>
      <c r="C36" s="6" t="s">
        <v>209</v>
      </c>
      <c r="D36" s="147">
        <v>0</v>
      </c>
      <c r="E36" s="148">
        <v>2.25</v>
      </c>
      <c r="F36" s="34">
        <v>0</v>
      </c>
      <c r="G36" s="135" t="s">
        <v>84</v>
      </c>
    </row>
    <row r="37" spans="2:9" ht="36.75" customHeight="1">
      <c r="B37" s="313"/>
      <c r="C37" s="6" t="s">
        <v>210</v>
      </c>
      <c r="D37" s="147">
        <v>0</v>
      </c>
      <c r="E37" s="148">
        <v>2.25</v>
      </c>
      <c r="F37" s="34">
        <v>0</v>
      </c>
      <c r="G37" s="135" t="s">
        <v>84</v>
      </c>
      <c r="I37" s="140"/>
    </row>
    <row r="38" spans="2:9" ht="36.75" customHeight="1">
      <c r="B38" s="313"/>
      <c r="C38" s="6" t="s">
        <v>211</v>
      </c>
      <c r="D38" s="147">
        <v>4553.76</v>
      </c>
      <c r="E38" s="148">
        <v>4.5</v>
      </c>
      <c r="F38" s="34">
        <v>6</v>
      </c>
      <c r="G38" s="139"/>
    </row>
    <row r="39" spans="2:9" ht="36.75" customHeight="1">
      <c r="B39" s="313"/>
      <c r="C39" s="6" t="s">
        <v>212</v>
      </c>
      <c r="D39" s="147">
        <v>1755.1</v>
      </c>
      <c r="E39" s="148">
        <v>4.5</v>
      </c>
      <c r="F39" s="34">
        <v>7</v>
      </c>
      <c r="G39" s="137"/>
      <c r="H39" s="138"/>
      <c r="I39" s="140"/>
    </row>
    <row r="40" spans="2:9" ht="36.75" customHeight="1">
      <c r="B40" s="313"/>
      <c r="C40" s="6" t="s">
        <v>213</v>
      </c>
      <c r="D40" s="147">
        <v>1260.8499999999999</v>
      </c>
      <c r="E40" s="148">
        <v>3.15</v>
      </c>
      <c r="F40" s="34">
        <v>3</v>
      </c>
      <c r="G40" s="137"/>
      <c r="H40" s="138"/>
    </row>
    <row r="41" spans="2:9" ht="36.75" customHeight="1">
      <c r="B41" s="313"/>
      <c r="C41" s="6" t="s">
        <v>214</v>
      </c>
      <c r="D41" s="147">
        <v>1627.61</v>
      </c>
      <c r="E41" s="148">
        <v>3.15</v>
      </c>
      <c r="F41" s="34">
        <v>9</v>
      </c>
      <c r="G41" s="19"/>
    </row>
    <row r="42" spans="2:9" ht="36.75" customHeight="1">
      <c r="B42" s="313"/>
      <c r="C42" s="6" t="s">
        <v>215</v>
      </c>
      <c r="D42" s="147">
        <v>999.04</v>
      </c>
      <c r="E42" s="148">
        <v>3.15</v>
      </c>
      <c r="F42" s="34">
        <v>7</v>
      </c>
      <c r="G42" s="137"/>
      <c r="H42" s="138"/>
    </row>
    <row r="43" spans="2:9" ht="36.75" customHeight="1">
      <c r="B43" s="313"/>
      <c r="C43" s="6" t="s">
        <v>216</v>
      </c>
      <c r="D43" s="147">
        <v>112.46</v>
      </c>
      <c r="E43" s="148">
        <v>3.15</v>
      </c>
      <c r="F43" s="34">
        <v>1</v>
      </c>
      <c r="G43" s="137"/>
      <c r="H43" s="138"/>
    </row>
    <row r="44" spans="2:9" ht="36.75" customHeight="1">
      <c r="B44" s="313"/>
      <c r="C44" s="6" t="s">
        <v>217</v>
      </c>
      <c r="D44" s="147">
        <v>303.35000000000002</v>
      </c>
      <c r="E44" s="148">
        <v>3.15</v>
      </c>
      <c r="F44" s="34">
        <v>2</v>
      </c>
      <c r="G44" s="137"/>
      <c r="H44" s="138"/>
    </row>
    <row r="45" spans="2:9" ht="36.75" customHeight="1">
      <c r="B45" s="313"/>
      <c r="C45" s="6" t="s">
        <v>218</v>
      </c>
      <c r="D45" s="147">
        <v>99.67</v>
      </c>
      <c r="E45" s="148">
        <v>2.25</v>
      </c>
      <c r="F45" s="34">
        <v>1</v>
      </c>
      <c r="G45" s="136"/>
    </row>
    <row r="46" spans="2:9" ht="36.75" customHeight="1">
      <c r="B46" s="111"/>
      <c r="C46" s="6" t="s">
        <v>219</v>
      </c>
      <c r="D46" s="147">
        <v>162.54</v>
      </c>
      <c r="E46" s="148">
        <v>3.15</v>
      </c>
      <c r="F46" s="34">
        <v>3</v>
      </c>
      <c r="G46" s="136"/>
    </row>
    <row r="47" spans="2:9" ht="45" customHeight="1">
      <c r="B47" s="111" t="s">
        <v>53</v>
      </c>
      <c r="C47" s="6"/>
      <c r="D47" s="150">
        <f>SUM(D8:D46)</f>
        <v>42393.719999999994</v>
      </c>
      <c r="E47" s="150">
        <f>SUM(E8:E46)</f>
        <v>111.00000000000003</v>
      </c>
      <c r="F47" s="152">
        <f>SUM(F8:F46)</f>
        <v>145</v>
      </c>
      <c r="G47" s="112"/>
    </row>
    <row r="48" spans="2:9" ht="42.75" customHeight="1">
      <c r="B48" s="291" t="s">
        <v>54</v>
      </c>
      <c r="C48" s="137" t="s">
        <v>220</v>
      </c>
      <c r="D48" s="31">
        <v>854</v>
      </c>
      <c r="E48" s="148">
        <v>113</v>
      </c>
      <c r="F48" s="34">
        <v>5</v>
      </c>
      <c r="G48" s="141" t="s">
        <v>221</v>
      </c>
    </row>
    <row r="49" spans="1:10" ht="35.25" customHeight="1">
      <c r="B49" s="292"/>
      <c r="C49" s="137" t="s">
        <v>222</v>
      </c>
      <c r="D49" s="31">
        <v>0</v>
      </c>
      <c r="E49" s="148">
        <v>31.7</v>
      </c>
      <c r="F49" s="34">
        <v>1</v>
      </c>
      <c r="G49" s="141" t="s">
        <v>223</v>
      </c>
    </row>
    <row r="50" spans="1:10" ht="34.5" customHeight="1">
      <c r="B50" s="292"/>
      <c r="C50" s="137" t="s">
        <v>224</v>
      </c>
      <c r="D50" s="31">
        <v>0</v>
      </c>
      <c r="E50" s="148">
        <v>16.5</v>
      </c>
      <c r="F50" s="34">
        <v>0</v>
      </c>
      <c r="G50" s="135" t="s">
        <v>84</v>
      </c>
      <c r="H50" s="138"/>
    </row>
    <row r="51" spans="1:10" ht="42" customHeight="1">
      <c r="B51" s="292"/>
      <c r="C51" s="137" t="s">
        <v>226</v>
      </c>
      <c r="D51" s="31">
        <v>47.5</v>
      </c>
      <c r="E51" s="148">
        <v>47.5</v>
      </c>
      <c r="F51" s="34">
        <v>1</v>
      </c>
      <c r="G51" s="141" t="s">
        <v>227</v>
      </c>
      <c r="H51" s="113"/>
      <c r="I51" s="113"/>
      <c r="J51" s="113"/>
    </row>
    <row r="52" spans="1:10" ht="42" customHeight="1">
      <c r="B52" s="293"/>
      <c r="C52" s="137" t="s">
        <v>228</v>
      </c>
      <c r="D52" s="31">
        <v>69.87</v>
      </c>
      <c r="E52" s="148">
        <v>16.5</v>
      </c>
      <c r="F52" s="153">
        <v>5</v>
      </c>
      <c r="G52" s="141" t="s">
        <v>229</v>
      </c>
      <c r="H52" s="142"/>
      <c r="I52" s="113"/>
      <c r="J52" s="113"/>
    </row>
    <row r="53" spans="1:10" ht="42" customHeight="1">
      <c r="B53" s="129"/>
      <c r="C53" s="137" t="s">
        <v>230</v>
      </c>
      <c r="D53" s="31">
        <v>0</v>
      </c>
      <c r="E53" s="148">
        <v>16.5</v>
      </c>
      <c r="F53" s="34">
        <v>1</v>
      </c>
      <c r="G53" s="141" t="s">
        <v>225</v>
      </c>
      <c r="H53" s="113"/>
      <c r="I53" s="113"/>
      <c r="J53" s="113"/>
    </row>
    <row r="54" spans="1:10" ht="34.5" customHeight="1">
      <c r="B54" s="114" t="s">
        <v>53</v>
      </c>
      <c r="C54" s="134"/>
      <c r="D54" s="150">
        <f>SUM(D48:D53)</f>
        <v>971.37</v>
      </c>
      <c r="E54" s="150">
        <f>SUM(E48:E53)</f>
        <v>241.7</v>
      </c>
      <c r="F54" s="152">
        <f>SUM(F48:F53)</f>
        <v>13</v>
      </c>
      <c r="G54" s="112"/>
      <c r="H54" s="113"/>
      <c r="I54" s="113"/>
      <c r="J54" s="113"/>
    </row>
    <row r="55" spans="1:10" ht="31.5" customHeight="1">
      <c r="B55" s="316" t="s">
        <v>58</v>
      </c>
      <c r="C55" s="316"/>
      <c r="D55" s="316"/>
      <c r="E55" s="316"/>
      <c r="F55" s="316"/>
      <c r="G55" s="317"/>
    </row>
    <row r="56" spans="1:10" ht="65.25" customHeight="1">
      <c r="A56" s="12"/>
      <c r="B56" s="134" t="s">
        <v>5</v>
      </c>
      <c r="C56" s="134" t="s">
        <v>59</v>
      </c>
      <c r="D56" s="134" t="s">
        <v>6</v>
      </c>
      <c r="E56" s="134" t="s">
        <v>60</v>
      </c>
      <c r="F56" s="134" t="s">
        <v>8</v>
      </c>
      <c r="G56" s="134" t="s">
        <v>61</v>
      </c>
    </row>
    <row r="57" spans="1:10" ht="33" customHeight="1">
      <c r="B57" s="367" t="s">
        <v>62</v>
      </c>
      <c r="C57" s="6" t="s">
        <v>231</v>
      </c>
      <c r="D57" s="31">
        <v>0</v>
      </c>
      <c r="E57" s="31">
        <v>0</v>
      </c>
      <c r="F57" s="116">
        <v>1</v>
      </c>
      <c r="G57" s="135" t="s">
        <v>85</v>
      </c>
    </row>
    <row r="58" spans="1:10" ht="33" customHeight="1">
      <c r="B58" s="368"/>
      <c r="C58" s="6" t="s">
        <v>232</v>
      </c>
      <c r="D58" s="31">
        <v>0</v>
      </c>
      <c r="E58" s="31">
        <v>0</v>
      </c>
      <c r="F58" s="116">
        <v>1</v>
      </c>
      <c r="G58" s="135" t="s">
        <v>85</v>
      </c>
    </row>
    <row r="59" spans="1:10" ht="33" customHeight="1">
      <c r="B59" s="369"/>
      <c r="C59" s="6" t="s">
        <v>233</v>
      </c>
      <c r="D59" s="31">
        <v>0</v>
      </c>
      <c r="E59" s="31">
        <v>0</v>
      </c>
      <c r="F59" s="116">
        <v>1</v>
      </c>
      <c r="G59" s="135" t="s">
        <v>85</v>
      </c>
    </row>
    <row r="60" spans="1:10" ht="21.75" customHeight="1">
      <c r="B60" s="117" t="s">
        <v>53</v>
      </c>
      <c r="C60" s="143"/>
      <c r="D60" s="150">
        <f>SUM(D57:D59)</f>
        <v>0</v>
      </c>
      <c r="E60" s="150">
        <f>SUM(E57:E59)</f>
        <v>0</v>
      </c>
      <c r="F60" s="144">
        <f>SUM(F57:F59)</f>
        <v>3</v>
      </c>
      <c r="G60" s="16"/>
    </row>
    <row r="61" spans="1:10" ht="27.75" customHeight="1">
      <c r="B61" s="306" t="s">
        <v>63</v>
      </c>
      <c r="C61" s="6" t="s">
        <v>234</v>
      </c>
      <c r="D61" s="31">
        <v>1292.94</v>
      </c>
      <c r="E61" s="31">
        <v>2603</v>
      </c>
      <c r="F61" s="116">
        <v>55</v>
      </c>
      <c r="G61" s="145"/>
      <c r="H61" s="138"/>
    </row>
    <row r="62" spans="1:10" ht="28.5" customHeight="1">
      <c r="B62" s="308"/>
      <c r="C62" s="6" t="s">
        <v>235</v>
      </c>
      <c r="D62" s="147">
        <v>799.04</v>
      </c>
      <c r="E62" s="31">
        <v>1188.72</v>
      </c>
      <c r="F62" s="116">
        <v>40</v>
      </c>
      <c r="G62" s="145"/>
      <c r="H62" s="138"/>
      <c r="I62" s="138"/>
    </row>
    <row r="63" spans="1:10" ht="29.25" customHeight="1">
      <c r="B63" s="117" t="s">
        <v>53</v>
      </c>
      <c r="C63" s="118"/>
      <c r="D63" s="150">
        <f>SUM(D61:D62)</f>
        <v>2091.98</v>
      </c>
      <c r="E63" s="150">
        <f>E61+E62</f>
        <v>3791.7200000000003</v>
      </c>
      <c r="F63" s="146">
        <f>F61+F62</f>
        <v>95</v>
      </c>
      <c r="G63" s="16"/>
    </row>
    <row r="64" spans="1:10" ht="24" customHeight="1">
      <c r="B64" s="13" t="s">
        <v>64</v>
      </c>
      <c r="C64" s="115"/>
      <c r="D64" s="27">
        <v>0</v>
      </c>
      <c r="E64" s="27">
        <v>0</v>
      </c>
      <c r="F64" s="116">
        <v>0</v>
      </c>
      <c r="G64" s="135" t="s">
        <v>84</v>
      </c>
    </row>
    <row r="65" spans="2:7" ht="27" customHeight="1">
      <c r="B65" s="117" t="s">
        <v>53</v>
      </c>
      <c r="C65" s="143"/>
      <c r="D65" s="124">
        <f>D64</f>
        <v>0</v>
      </c>
      <c r="E65" s="124">
        <f>E64</f>
        <v>0</v>
      </c>
      <c r="F65" s="384">
        <f>F64</f>
        <v>0</v>
      </c>
      <c r="G65" s="16"/>
    </row>
    <row r="66" spans="2:7" ht="33" customHeight="1">
      <c r="B66" s="13" t="s">
        <v>65</v>
      </c>
      <c r="C66" s="115"/>
      <c r="D66" s="27">
        <v>0</v>
      </c>
      <c r="E66" s="27">
        <v>0</v>
      </c>
      <c r="F66" s="116">
        <v>0</v>
      </c>
      <c r="G66" s="135" t="s">
        <v>84</v>
      </c>
    </row>
    <row r="67" spans="2:7" ht="24.75" customHeight="1">
      <c r="B67" s="117" t="s">
        <v>53</v>
      </c>
      <c r="C67" s="143"/>
      <c r="D67" s="124">
        <f>D66</f>
        <v>0</v>
      </c>
      <c r="E67" s="124">
        <f>E66</f>
        <v>0</v>
      </c>
      <c r="F67" s="384">
        <f>F66</f>
        <v>0</v>
      </c>
      <c r="G67" s="16"/>
    </row>
    <row r="68" spans="2:7" ht="30.75" customHeight="1">
      <c r="B68" s="13" t="s">
        <v>73</v>
      </c>
      <c r="C68" s="120"/>
      <c r="D68" s="27">
        <v>0</v>
      </c>
      <c r="E68" s="27">
        <v>0</v>
      </c>
      <c r="F68" s="116">
        <v>0</v>
      </c>
      <c r="G68" s="135" t="s">
        <v>84</v>
      </c>
    </row>
    <row r="69" spans="2:7" ht="15.6">
      <c r="B69" s="117" t="s">
        <v>53</v>
      </c>
      <c r="C69" s="143"/>
      <c r="D69" s="124">
        <f>D68</f>
        <v>0</v>
      </c>
      <c r="E69" s="124">
        <f>E68</f>
        <v>0</v>
      </c>
      <c r="F69" s="384">
        <f>F68</f>
        <v>0</v>
      </c>
      <c r="G69" s="16"/>
    </row>
    <row r="70" spans="2:7" ht="17.25" customHeight="1">
      <c r="B70" s="315"/>
      <c r="C70" s="315"/>
      <c r="D70" s="315"/>
      <c r="E70" s="315"/>
      <c r="F70" s="315"/>
      <c r="G70" s="315"/>
    </row>
    <row r="71" spans="2:7" ht="33" customHeight="1">
      <c r="B71" s="114" t="s">
        <v>174</v>
      </c>
      <c r="C71" s="118"/>
      <c r="D71" s="151">
        <f>D47+D54+D60+D63+D65+D67+D69</f>
        <v>45457.07</v>
      </c>
      <c r="E71" s="151">
        <f>E47+E54+E60+E63+E65+E67+E69</f>
        <v>4144.42</v>
      </c>
      <c r="F71" s="154">
        <f>F47+F54+F60+F63+F65+F67+F69</f>
        <v>256</v>
      </c>
      <c r="G71" s="16"/>
    </row>
    <row r="72" spans="2:7">
      <c r="B72" s="80"/>
      <c r="C72" s="81"/>
      <c r="D72" s="81"/>
      <c r="E72" s="81"/>
      <c r="F72" s="81"/>
    </row>
    <row r="73" spans="2:7">
      <c r="B73" s="80"/>
      <c r="C73" s="81"/>
      <c r="D73" s="81"/>
      <c r="E73" s="81"/>
      <c r="F73" s="81"/>
    </row>
    <row r="74" spans="2:7">
      <c r="B74" s="82" t="s">
        <v>79</v>
      </c>
    </row>
    <row r="75" spans="2:7">
      <c r="B75" s="82"/>
    </row>
    <row r="76" spans="2:7">
      <c r="B76" s="83" t="s">
        <v>236</v>
      </c>
    </row>
    <row r="77" spans="2:7">
      <c r="B77" s="83" t="s">
        <v>237</v>
      </c>
    </row>
    <row r="78" spans="2:7">
      <c r="B78" s="84"/>
    </row>
    <row r="79" spans="2:7">
      <c r="B79" t="s">
        <v>238</v>
      </c>
    </row>
    <row r="80" spans="2:7">
      <c r="B80" s="305"/>
      <c r="C80" s="305"/>
      <c r="D80" s="305"/>
    </row>
    <row r="81" spans="2:4">
      <c r="B81" s="167" t="s">
        <v>83</v>
      </c>
      <c r="C81" s="192"/>
      <c r="D81" s="167"/>
    </row>
    <row r="82" spans="2:4" ht="15.75" customHeight="1"/>
  </sheetData>
  <mergeCells count="10">
    <mergeCell ref="B57:B59"/>
    <mergeCell ref="B61:B62"/>
    <mergeCell ref="B70:G70"/>
    <mergeCell ref="B80:D80"/>
    <mergeCell ref="B4:G4"/>
    <mergeCell ref="B5:G5"/>
    <mergeCell ref="B6:G6"/>
    <mergeCell ref="B8:B45"/>
    <mergeCell ref="B48:B52"/>
    <mergeCell ref="B55:G5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B1AA28-CF69-4C29-90E1-4B028D7C988A}">
  <dimension ref="A1:I81"/>
  <sheetViews>
    <sheetView topLeftCell="A67" workbookViewId="0">
      <selection activeCell="D75" sqref="D75"/>
    </sheetView>
  </sheetViews>
  <sheetFormatPr defaultColWidth="9.109375" defaultRowHeight="14.4"/>
  <cols>
    <col min="1" max="1" width="3.44140625" customWidth="1"/>
    <col min="2" max="2" width="44.33203125" customWidth="1"/>
    <col min="3" max="3" width="59.109375" customWidth="1"/>
    <col min="4" max="4" width="18.109375" customWidth="1"/>
    <col min="5" max="5" width="15.6640625" customWidth="1"/>
    <col min="6" max="6" width="15.33203125" customWidth="1"/>
    <col min="7" max="7" width="40.33203125" customWidth="1"/>
    <col min="8" max="8" width="2.6640625" customWidth="1"/>
  </cols>
  <sheetData>
    <row r="1" spans="2:7" ht="30" customHeight="1">
      <c r="B1" s="249" t="s">
        <v>0</v>
      </c>
    </row>
    <row r="2" spans="2:7" ht="25.5" customHeight="1">
      <c r="B2" s="249" t="s">
        <v>1</v>
      </c>
      <c r="D2" s="2"/>
      <c r="E2" s="2"/>
    </row>
    <row r="3" spans="2:7" ht="13.2" customHeight="1">
      <c r="B3" s="249"/>
      <c r="D3" s="2"/>
      <c r="E3" s="2"/>
    </row>
    <row r="4" spans="2:7" ht="32.25" customHeight="1">
      <c r="B4" s="370" t="s">
        <v>177</v>
      </c>
      <c r="C4" s="370"/>
      <c r="D4" s="370"/>
      <c r="E4" s="370"/>
      <c r="F4" s="370"/>
      <c r="G4" s="370"/>
    </row>
    <row r="5" spans="2:7" ht="31.5" customHeight="1">
      <c r="B5" s="370" t="s">
        <v>535</v>
      </c>
      <c r="C5" s="370"/>
      <c r="D5" s="370"/>
      <c r="E5" s="370"/>
      <c r="F5" s="370"/>
      <c r="G5" s="370"/>
    </row>
    <row r="6" spans="2:7" ht="26.25" customHeight="1">
      <c r="B6" s="371" t="s">
        <v>4</v>
      </c>
      <c r="C6" s="371"/>
      <c r="D6" s="371"/>
      <c r="E6" s="371"/>
      <c r="F6" s="371"/>
      <c r="G6" s="371"/>
    </row>
    <row r="7" spans="2:7" ht="55.5" customHeight="1">
      <c r="B7" s="250" t="s">
        <v>5</v>
      </c>
      <c r="C7" s="251" t="s">
        <v>88</v>
      </c>
      <c r="D7" s="251" t="s">
        <v>6</v>
      </c>
      <c r="E7" s="251" t="s">
        <v>536</v>
      </c>
      <c r="F7" s="251" t="s">
        <v>8</v>
      </c>
      <c r="G7" s="252" t="s">
        <v>9</v>
      </c>
    </row>
    <row r="8" spans="2:7" ht="28.8">
      <c r="B8" s="291" t="s">
        <v>537</v>
      </c>
      <c r="C8" s="6" t="s">
        <v>538</v>
      </c>
      <c r="D8" s="372">
        <v>586.9</v>
      </c>
      <c r="E8" s="28">
        <v>1.8</v>
      </c>
      <c r="F8" s="285">
        <v>12</v>
      </c>
      <c r="G8" s="253"/>
    </row>
    <row r="9" spans="2:7" ht="28.8">
      <c r="B9" s="292"/>
      <c r="C9" s="6" t="s">
        <v>539</v>
      </c>
      <c r="D9" s="373"/>
      <c r="E9" s="28">
        <v>3</v>
      </c>
      <c r="F9" s="284"/>
      <c r="G9" s="253"/>
    </row>
    <row r="10" spans="2:7" ht="28.8">
      <c r="B10" s="292"/>
      <c r="C10" s="6" t="s">
        <v>540</v>
      </c>
      <c r="D10" s="372">
        <v>300.3</v>
      </c>
      <c r="E10" s="28">
        <v>3</v>
      </c>
      <c r="F10" s="285">
        <v>4</v>
      </c>
      <c r="G10" s="253"/>
    </row>
    <row r="11" spans="2:7" ht="28.8">
      <c r="B11" s="292"/>
      <c r="C11" s="6" t="s">
        <v>541</v>
      </c>
      <c r="D11" s="373"/>
      <c r="E11" s="28">
        <v>3</v>
      </c>
      <c r="F11" s="284"/>
      <c r="G11" s="253"/>
    </row>
    <row r="12" spans="2:7" ht="28.8">
      <c r="B12" s="292"/>
      <c r="C12" s="6" t="s">
        <v>542</v>
      </c>
      <c r="D12" s="372">
        <v>2179.5</v>
      </c>
      <c r="E12" s="28">
        <v>3</v>
      </c>
      <c r="F12" s="285">
        <v>15</v>
      </c>
      <c r="G12" s="253"/>
    </row>
    <row r="13" spans="2:7" ht="28.8">
      <c r="B13" s="292"/>
      <c r="C13" s="6" t="s">
        <v>543</v>
      </c>
      <c r="D13" s="374"/>
      <c r="E13" s="28">
        <v>3</v>
      </c>
      <c r="F13" s="283"/>
      <c r="G13" s="253"/>
    </row>
    <row r="14" spans="2:7" ht="28.8">
      <c r="B14" s="292"/>
      <c r="C14" s="6" t="s">
        <v>544</v>
      </c>
      <c r="D14" s="373"/>
      <c r="E14" s="28">
        <v>3</v>
      </c>
      <c r="F14" s="284"/>
      <c r="G14" s="253"/>
    </row>
    <row r="15" spans="2:7" ht="28.8">
      <c r="B15" s="292"/>
      <c r="C15" s="6" t="s">
        <v>545</v>
      </c>
      <c r="D15" s="372">
        <v>2612.27</v>
      </c>
      <c r="E15" s="28">
        <v>3</v>
      </c>
      <c r="F15" s="285">
        <v>12</v>
      </c>
      <c r="G15" s="253"/>
    </row>
    <row r="16" spans="2:7" ht="28.8">
      <c r="B16" s="292"/>
      <c r="C16" s="6" t="s">
        <v>546</v>
      </c>
      <c r="D16" s="374"/>
      <c r="E16" s="28">
        <v>1.8</v>
      </c>
      <c r="F16" s="283"/>
      <c r="G16" s="253"/>
    </row>
    <row r="17" spans="2:7" ht="28.8">
      <c r="B17" s="292"/>
      <c r="C17" s="6" t="s">
        <v>547</v>
      </c>
      <c r="D17" s="374"/>
      <c r="E17" s="28">
        <v>3</v>
      </c>
      <c r="F17" s="283"/>
      <c r="G17" s="253"/>
    </row>
    <row r="18" spans="2:7" ht="28.8">
      <c r="B18" s="292"/>
      <c r="C18" s="6" t="s">
        <v>548</v>
      </c>
      <c r="D18" s="373"/>
      <c r="E18" s="28">
        <v>3</v>
      </c>
      <c r="F18" s="284"/>
      <c r="G18" s="253"/>
    </row>
    <row r="19" spans="2:7" ht="28.8">
      <c r="B19" s="292"/>
      <c r="C19" s="6" t="s">
        <v>549</v>
      </c>
      <c r="D19" s="372">
        <v>2168.5300000000002</v>
      </c>
      <c r="E19" s="28">
        <v>1.8</v>
      </c>
      <c r="F19" s="285">
        <v>8</v>
      </c>
      <c r="G19" s="253"/>
    </row>
    <row r="20" spans="2:7" ht="28.8">
      <c r="B20" s="292"/>
      <c r="C20" s="6" t="s">
        <v>550</v>
      </c>
      <c r="D20" s="374"/>
      <c r="E20" s="28">
        <v>1.8</v>
      </c>
      <c r="F20" s="283"/>
      <c r="G20" s="253"/>
    </row>
    <row r="21" spans="2:7" ht="28.8">
      <c r="B21" s="292"/>
      <c r="C21" s="6" t="s">
        <v>551</v>
      </c>
      <c r="D21" s="373"/>
      <c r="E21" s="28">
        <v>3</v>
      </c>
      <c r="F21" s="284"/>
      <c r="G21" s="253"/>
    </row>
    <row r="22" spans="2:7" ht="28.8">
      <c r="B22" s="292"/>
      <c r="C22" s="6" t="s">
        <v>552</v>
      </c>
      <c r="D22" s="372">
        <v>846.6</v>
      </c>
      <c r="E22" s="28">
        <v>3</v>
      </c>
      <c r="F22" s="285">
        <v>4</v>
      </c>
      <c r="G22" s="253"/>
    </row>
    <row r="23" spans="2:7" ht="28.8">
      <c r="B23" s="292"/>
      <c r="C23" s="6" t="s">
        <v>553</v>
      </c>
      <c r="D23" s="373"/>
      <c r="E23" s="28">
        <v>1.8</v>
      </c>
      <c r="F23" s="284"/>
      <c r="G23" s="253"/>
    </row>
    <row r="24" spans="2:7" ht="28.8">
      <c r="B24" s="292"/>
      <c r="C24" s="6" t="s">
        <v>554</v>
      </c>
      <c r="D24" s="372">
        <v>5929.7</v>
      </c>
      <c r="E24" s="28">
        <v>4.5</v>
      </c>
      <c r="F24" s="285">
        <v>23</v>
      </c>
      <c r="G24" s="253"/>
    </row>
    <row r="25" spans="2:7" ht="28.8">
      <c r="B25" s="292"/>
      <c r="C25" s="6" t="s">
        <v>555</v>
      </c>
      <c r="D25" s="374"/>
      <c r="E25" s="28">
        <v>4.5</v>
      </c>
      <c r="F25" s="283"/>
      <c r="G25" s="253"/>
    </row>
    <row r="26" spans="2:7" ht="28.8">
      <c r="B26" s="292"/>
      <c r="C26" s="6" t="s">
        <v>556</v>
      </c>
      <c r="D26" s="374"/>
      <c r="E26" s="28">
        <v>3</v>
      </c>
      <c r="F26" s="283"/>
      <c r="G26" s="253"/>
    </row>
    <row r="27" spans="2:7" ht="28.8">
      <c r="B27" s="292"/>
      <c r="C27" s="6" t="s">
        <v>557</v>
      </c>
      <c r="D27" s="373"/>
      <c r="E27" s="28">
        <v>3</v>
      </c>
      <c r="F27" s="284"/>
      <c r="G27" s="253"/>
    </row>
    <row r="28" spans="2:7" ht="28.8">
      <c r="B28" s="292"/>
      <c r="C28" s="6" t="s">
        <v>558</v>
      </c>
      <c r="D28" s="372">
        <v>4943.3999999999996</v>
      </c>
      <c r="E28" s="28">
        <v>3</v>
      </c>
      <c r="F28" s="285">
        <v>10</v>
      </c>
      <c r="G28" s="253"/>
    </row>
    <row r="29" spans="2:7" ht="28.8">
      <c r="B29" s="292"/>
      <c r="C29" s="6" t="s">
        <v>559</v>
      </c>
      <c r="D29" s="373"/>
      <c r="E29" s="28">
        <v>4.5</v>
      </c>
      <c r="F29" s="284"/>
      <c r="G29" s="253"/>
    </row>
    <row r="30" spans="2:7" ht="28.8">
      <c r="B30" s="292"/>
      <c r="C30" s="6" t="s">
        <v>560</v>
      </c>
      <c r="D30" s="372">
        <v>3654.25</v>
      </c>
      <c r="E30" s="28">
        <v>3</v>
      </c>
      <c r="F30" s="285">
        <v>13</v>
      </c>
      <c r="G30" s="253"/>
    </row>
    <row r="31" spans="2:7" ht="28.8">
      <c r="B31" s="292"/>
      <c r="C31" s="6" t="s">
        <v>561</v>
      </c>
      <c r="D31" s="374"/>
      <c r="E31" s="28">
        <v>3</v>
      </c>
      <c r="F31" s="283"/>
      <c r="G31" s="253"/>
    </row>
    <row r="32" spans="2:7" ht="28.8">
      <c r="B32" s="292"/>
      <c r="C32" s="6" t="s">
        <v>562</v>
      </c>
      <c r="D32" s="374"/>
      <c r="E32" s="28">
        <v>3</v>
      </c>
      <c r="F32" s="283"/>
      <c r="G32" s="8"/>
    </row>
    <row r="33" spans="2:9" ht="43.2">
      <c r="B33" s="292"/>
      <c r="C33" s="6" t="s">
        <v>563</v>
      </c>
      <c r="D33" s="374"/>
      <c r="E33" s="28">
        <v>1.8</v>
      </c>
      <c r="F33" s="283"/>
      <c r="G33" s="8"/>
    </row>
    <row r="34" spans="2:9" ht="43.2">
      <c r="B34" s="293"/>
      <c r="C34" s="6" t="s">
        <v>563</v>
      </c>
      <c r="D34" s="373"/>
      <c r="E34" s="28">
        <v>1.8</v>
      </c>
      <c r="F34" s="284"/>
      <c r="G34" s="8"/>
    </row>
    <row r="35" spans="2:9" ht="25.5" customHeight="1">
      <c r="B35" s="254" t="s">
        <v>53</v>
      </c>
      <c r="C35" s="255"/>
      <c r="D35" s="263">
        <f>SUM(D8:D34)</f>
        <v>23221.449999999997</v>
      </c>
      <c r="E35" s="263">
        <f>SUM(E8:E34)</f>
        <v>77.099999999999994</v>
      </c>
      <c r="F35" s="256">
        <f>SUM(F8:F34)</f>
        <v>101</v>
      </c>
      <c r="G35" s="257"/>
      <c r="H35" s="10"/>
      <c r="I35" s="10"/>
    </row>
    <row r="36" spans="2:9" ht="28.8">
      <c r="B36" s="375" t="s">
        <v>564</v>
      </c>
      <c r="C36" s="214" t="s">
        <v>565</v>
      </c>
      <c r="D36" s="239">
        <v>0</v>
      </c>
      <c r="E36" s="264">
        <v>37</v>
      </c>
      <c r="F36" s="262">
        <v>1</v>
      </c>
      <c r="G36" s="8"/>
    </row>
    <row r="37" spans="2:9" ht="28.8">
      <c r="B37" s="375"/>
      <c r="C37" s="214" t="s">
        <v>565</v>
      </c>
      <c r="D37" s="239">
        <v>0</v>
      </c>
      <c r="E37" s="264">
        <v>0</v>
      </c>
      <c r="F37" s="262">
        <v>1</v>
      </c>
      <c r="G37" s="58" t="s">
        <v>85</v>
      </c>
    </row>
    <row r="38" spans="2:9" ht="28.8">
      <c r="B38" s="375"/>
      <c r="C38" s="214" t="s">
        <v>566</v>
      </c>
      <c r="D38" s="239">
        <v>2217</v>
      </c>
      <c r="E38" s="264">
        <v>37</v>
      </c>
      <c r="F38" s="262">
        <v>2</v>
      </c>
      <c r="G38" s="8"/>
    </row>
    <row r="39" spans="2:9" ht="28.8">
      <c r="B39" s="375"/>
      <c r="C39" s="214" t="s">
        <v>566</v>
      </c>
      <c r="D39" s="239">
        <v>0</v>
      </c>
      <c r="E39" s="264">
        <v>0</v>
      </c>
      <c r="F39" s="262">
        <v>0</v>
      </c>
      <c r="G39" s="58" t="s">
        <v>84</v>
      </c>
    </row>
    <row r="40" spans="2:9" ht="28.8">
      <c r="B40" s="375"/>
      <c r="C40" s="214" t="s">
        <v>567</v>
      </c>
      <c r="D40" s="239">
        <v>2109</v>
      </c>
      <c r="E40" s="264">
        <v>37</v>
      </c>
      <c r="F40" s="262">
        <v>5</v>
      </c>
      <c r="G40" s="8"/>
    </row>
    <row r="41" spans="2:9" ht="28.8">
      <c r="B41" s="375"/>
      <c r="C41" s="214" t="s">
        <v>567</v>
      </c>
      <c r="D41" s="239">
        <v>0</v>
      </c>
      <c r="E41" s="264">
        <v>0</v>
      </c>
      <c r="F41" s="262">
        <v>5</v>
      </c>
      <c r="G41" s="58" t="s">
        <v>85</v>
      </c>
    </row>
    <row r="42" spans="2:9" ht="28.8">
      <c r="B42" s="375"/>
      <c r="C42" s="214" t="s">
        <v>568</v>
      </c>
      <c r="D42" s="239">
        <v>2582</v>
      </c>
      <c r="E42" s="264">
        <v>37</v>
      </c>
      <c r="F42" s="262">
        <v>4</v>
      </c>
      <c r="G42" s="8"/>
    </row>
    <row r="43" spans="2:9" ht="28.8">
      <c r="B43" s="375"/>
      <c r="C43" s="214" t="s">
        <v>568</v>
      </c>
      <c r="D43" s="239">
        <v>0</v>
      </c>
      <c r="E43" s="264">
        <v>0</v>
      </c>
      <c r="F43" s="262">
        <v>0</v>
      </c>
      <c r="G43" s="58" t="s">
        <v>84</v>
      </c>
    </row>
    <row r="44" spans="2:9" ht="28.8">
      <c r="B44" s="375"/>
      <c r="C44" s="214" t="s">
        <v>569</v>
      </c>
      <c r="D44" s="264">
        <v>1417.4</v>
      </c>
      <c r="E44" s="264">
        <v>83</v>
      </c>
      <c r="F44" s="262">
        <v>3</v>
      </c>
      <c r="G44" s="8"/>
    </row>
    <row r="45" spans="2:9" ht="28.8">
      <c r="B45" s="375"/>
      <c r="C45" s="214" t="s">
        <v>569</v>
      </c>
      <c r="D45" s="264">
        <v>0</v>
      </c>
      <c r="E45" s="264">
        <v>0</v>
      </c>
      <c r="F45" s="262">
        <v>6</v>
      </c>
      <c r="G45" s="58" t="s">
        <v>85</v>
      </c>
    </row>
    <row r="46" spans="2:9" ht="28.8">
      <c r="B46" s="375"/>
      <c r="C46" s="214" t="s">
        <v>570</v>
      </c>
      <c r="D46" s="239">
        <v>496</v>
      </c>
      <c r="E46" s="264">
        <v>124</v>
      </c>
      <c r="F46" s="262">
        <v>1</v>
      </c>
      <c r="G46" s="8"/>
    </row>
    <row r="47" spans="2:9" ht="28.8">
      <c r="B47" s="375"/>
      <c r="C47" s="214" t="s">
        <v>570</v>
      </c>
      <c r="D47" s="239">
        <v>0</v>
      </c>
      <c r="E47" s="264">
        <v>0</v>
      </c>
      <c r="F47" s="262">
        <v>5</v>
      </c>
      <c r="G47" s="58" t="s">
        <v>85</v>
      </c>
    </row>
    <row r="48" spans="2:9" ht="28.8">
      <c r="B48" s="375"/>
      <c r="C48" s="214" t="s">
        <v>571</v>
      </c>
      <c r="D48" s="239">
        <v>518.5</v>
      </c>
      <c r="E48" s="264">
        <v>18.5</v>
      </c>
      <c r="F48" s="262">
        <v>1</v>
      </c>
      <c r="G48" s="16"/>
    </row>
    <row r="49" spans="1:9" ht="28.8">
      <c r="B49" s="375"/>
      <c r="C49" s="214" t="s">
        <v>571</v>
      </c>
      <c r="D49" s="239">
        <v>0</v>
      </c>
      <c r="E49" s="264">
        <v>0</v>
      </c>
      <c r="F49" s="262">
        <v>0</v>
      </c>
      <c r="G49" s="58" t="s">
        <v>84</v>
      </c>
    </row>
    <row r="50" spans="1:9" ht="28.8">
      <c r="B50" s="375"/>
      <c r="C50" s="214" t="s">
        <v>572</v>
      </c>
      <c r="D50" s="239">
        <v>0</v>
      </c>
      <c r="E50" s="264">
        <v>25</v>
      </c>
      <c r="F50" s="262">
        <v>0</v>
      </c>
      <c r="G50" s="58" t="s">
        <v>84</v>
      </c>
    </row>
    <row r="51" spans="1:9" ht="28.8">
      <c r="B51" s="375"/>
      <c r="C51" s="214" t="s">
        <v>572</v>
      </c>
      <c r="D51" s="239">
        <v>0</v>
      </c>
      <c r="E51" s="264">
        <v>0</v>
      </c>
      <c r="F51" s="262">
        <v>0</v>
      </c>
      <c r="G51" s="58" t="s">
        <v>84</v>
      </c>
    </row>
    <row r="52" spans="1:9" ht="28.8">
      <c r="B52" s="375"/>
      <c r="C52" s="214" t="s">
        <v>573</v>
      </c>
      <c r="D52" s="239">
        <v>992</v>
      </c>
      <c r="E52" s="264">
        <v>124</v>
      </c>
      <c r="F52" s="262">
        <v>12</v>
      </c>
      <c r="G52" s="8"/>
    </row>
    <row r="53" spans="1:9" ht="28.8">
      <c r="B53" s="375"/>
      <c r="C53" s="214" t="s">
        <v>573</v>
      </c>
      <c r="D53" s="239">
        <v>0</v>
      </c>
      <c r="E53" s="264">
        <v>0</v>
      </c>
      <c r="F53" s="262">
        <v>9</v>
      </c>
      <c r="G53" s="58" t="s">
        <v>85</v>
      </c>
    </row>
    <row r="54" spans="1:9" ht="25.5" customHeight="1">
      <c r="B54" s="254" t="s">
        <v>53</v>
      </c>
      <c r="C54" s="255"/>
      <c r="D54" s="263">
        <f>SUM(D36:D53)</f>
        <v>10331.9</v>
      </c>
      <c r="E54" s="263">
        <f>SUM(E36:E53)</f>
        <v>522.5</v>
      </c>
      <c r="F54" s="256">
        <f>SUM(F36:F53)</f>
        <v>55</v>
      </c>
      <c r="G54" s="257"/>
      <c r="H54" s="10"/>
      <c r="I54" s="10"/>
    </row>
    <row r="55" spans="1:9" ht="31.5" customHeight="1">
      <c r="B55" s="376" t="s">
        <v>58</v>
      </c>
      <c r="C55" s="377"/>
      <c r="D55" s="377"/>
      <c r="E55" s="377"/>
      <c r="F55" s="377"/>
      <c r="G55" s="378"/>
    </row>
    <row r="56" spans="1:9" ht="53.25" customHeight="1">
      <c r="A56" s="12"/>
      <c r="B56" s="251" t="s">
        <v>5</v>
      </c>
      <c r="C56" s="251" t="s">
        <v>59</v>
      </c>
      <c r="D56" s="251" t="s">
        <v>6</v>
      </c>
      <c r="E56" s="251" t="s">
        <v>574</v>
      </c>
      <c r="F56" s="251" t="s">
        <v>8</v>
      </c>
      <c r="G56" s="252" t="s">
        <v>61</v>
      </c>
    </row>
    <row r="57" spans="1:9" ht="33" customHeight="1">
      <c r="B57" s="13" t="s">
        <v>62</v>
      </c>
      <c r="C57" s="14"/>
      <c r="D57" s="27">
        <v>0</v>
      </c>
      <c r="E57" s="27">
        <v>0</v>
      </c>
      <c r="F57" s="15">
        <v>0</v>
      </c>
      <c r="G57" s="58" t="s">
        <v>84</v>
      </c>
    </row>
    <row r="58" spans="1:9" ht="24.75" customHeight="1">
      <c r="B58" s="258" t="s">
        <v>53</v>
      </c>
      <c r="C58" s="259"/>
      <c r="D58" s="265">
        <f>SUM(D57)</f>
        <v>0</v>
      </c>
      <c r="E58" s="265">
        <f>SUM(E57)</f>
        <v>0</v>
      </c>
      <c r="F58" s="260">
        <f>SUM(F57)</f>
        <v>0</v>
      </c>
      <c r="G58" s="16"/>
    </row>
    <row r="59" spans="1:9" ht="28.5" customHeight="1">
      <c r="B59" s="306" t="s">
        <v>63</v>
      </c>
      <c r="C59" s="261" t="s">
        <v>575</v>
      </c>
      <c r="D59" s="266">
        <v>413</v>
      </c>
      <c r="E59" s="27">
        <v>472</v>
      </c>
      <c r="F59" s="15">
        <v>8</v>
      </c>
      <c r="G59" s="19" t="s">
        <v>576</v>
      </c>
    </row>
    <row r="60" spans="1:9" ht="28.5" customHeight="1">
      <c r="B60" s="307"/>
      <c r="C60" s="261" t="s">
        <v>577</v>
      </c>
      <c r="D60" s="27">
        <v>1407</v>
      </c>
      <c r="E60" s="27">
        <v>1608</v>
      </c>
      <c r="F60" s="15">
        <v>24</v>
      </c>
      <c r="G60" s="19" t="s">
        <v>578</v>
      </c>
    </row>
    <row r="61" spans="1:9" ht="28.5" customHeight="1">
      <c r="B61" s="308"/>
      <c r="C61" s="261" t="s">
        <v>579</v>
      </c>
      <c r="D61" s="266">
        <v>1190.72</v>
      </c>
      <c r="E61" s="27">
        <v>1700</v>
      </c>
      <c r="F61" s="15">
        <v>21</v>
      </c>
      <c r="G61" s="19" t="s">
        <v>580</v>
      </c>
    </row>
    <row r="62" spans="1:9" ht="24.75" customHeight="1">
      <c r="B62" s="258" t="s">
        <v>53</v>
      </c>
      <c r="C62" s="259"/>
      <c r="D62" s="265">
        <f>SUM(D59:D61)</f>
        <v>3010.7200000000003</v>
      </c>
      <c r="E62" s="265">
        <f>SUM(E59:E61)</f>
        <v>3780</v>
      </c>
      <c r="F62" s="260">
        <f>SUM(F59:F61)</f>
        <v>53</v>
      </c>
      <c r="G62" s="16"/>
    </row>
    <row r="63" spans="1:9" ht="27" customHeight="1">
      <c r="B63" s="13" t="s">
        <v>64</v>
      </c>
      <c r="C63" s="14" t="s">
        <v>581</v>
      </c>
      <c r="D63" s="27">
        <v>0</v>
      </c>
      <c r="E63" s="27">
        <v>15293.44</v>
      </c>
      <c r="F63" s="42">
        <v>0</v>
      </c>
      <c r="G63" s="58" t="s">
        <v>84</v>
      </c>
    </row>
    <row r="64" spans="1:9" ht="24.75" customHeight="1">
      <c r="B64" s="258" t="s">
        <v>53</v>
      </c>
      <c r="C64" s="259"/>
      <c r="D64" s="265">
        <f>SUM(D63)</f>
        <v>0</v>
      </c>
      <c r="E64" s="265">
        <f>SUM(E63)</f>
        <v>15293.44</v>
      </c>
      <c r="F64" s="260">
        <f>SUM(F63)</f>
        <v>0</v>
      </c>
      <c r="G64" s="16"/>
    </row>
    <row r="65" spans="2:7" ht="27" customHeight="1">
      <c r="B65" s="13" t="s">
        <v>65</v>
      </c>
      <c r="C65" s="14" t="s">
        <v>582</v>
      </c>
      <c r="D65" s="267">
        <v>0</v>
      </c>
      <c r="E65" s="267">
        <v>6000</v>
      </c>
      <c r="F65" s="22">
        <v>0</v>
      </c>
      <c r="G65" s="58" t="s">
        <v>84</v>
      </c>
    </row>
    <row r="66" spans="2:7" ht="24.75" customHeight="1">
      <c r="B66" s="258" t="s">
        <v>53</v>
      </c>
      <c r="C66" s="259"/>
      <c r="D66" s="265">
        <f>SUM(D65)</f>
        <v>0</v>
      </c>
      <c r="E66" s="265">
        <f>SUM(E65)</f>
        <v>6000</v>
      </c>
      <c r="F66" s="260">
        <f>SUM(F65)</f>
        <v>0</v>
      </c>
      <c r="G66" s="16"/>
    </row>
    <row r="67" spans="2:7" ht="30.75" customHeight="1">
      <c r="B67" s="13" t="s">
        <v>73</v>
      </c>
      <c r="C67" s="14"/>
      <c r="D67" s="266">
        <v>0</v>
      </c>
      <c r="E67" s="27">
        <v>0</v>
      </c>
      <c r="F67" s="15">
        <v>0</v>
      </c>
      <c r="G67" s="58" t="s">
        <v>84</v>
      </c>
    </row>
    <row r="68" spans="2:7" ht="24.75" customHeight="1">
      <c r="B68" s="258" t="s">
        <v>53</v>
      </c>
      <c r="C68" s="259"/>
      <c r="D68" s="265">
        <f>SUM(D67)</f>
        <v>0</v>
      </c>
      <c r="E68" s="265">
        <f>SUM(E67)</f>
        <v>0</v>
      </c>
      <c r="F68" s="260">
        <f>SUM(F67)</f>
        <v>0</v>
      </c>
      <c r="G68" s="16"/>
    </row>
    <row r="69" spans="2:7" ht="17.25" customHeight="1">
      <c r="B69" s="379"/>
      <c r="C69" s="380"/>
      <c r="D69" s="380"/>
      <c r="E69" s="380"/>
      <c r="F69" s="380"/>
      <c r="G69" s="381"/>
    </row>
    <row r="70" spans="2:7" ht="33" customHeight="1">
      <c r="B70" s="258" t="s">
        <v>583</v>
      </c>
      <c r="C70" s="259"/>
      <c r="D70" s="265">
        <f>SUM(D35+D54+D58+D62+D64+D66+D68)</f>
        <v>36564.07</v>
      </c>
      <c r="E70" s="265">
        <f>SUM(E35+E54+E58+E62+E64+E66+E68)</f>
        <v>25673.040000000001</v>
      </c>
      <c r="F70" s="268">
        <f>SUM(F35+F54+F58+F62+F64+F66+F68)</f>
        <v>209</v>
      </c>
      <c r="G70" s="16"/>
    </row>
    <row r="71" spans="2:7">
      <c r="B71" s="80"/>
      <c r="C71" s="81"/>
      <c r="D71" s="81"/>
      <c r="E71" s="81"/>
      <c r="F71" s="81"/>
    </row>
    <row r="72" spans="2:7">
      <c r="B72" s="82" t="s">
        <v>587</v>
      </c>
    </row>
    <row r="73" spans="2:7">
      <c r="B73" s="82"/>
    </row>
    <row r="74" spans="2:7">
      <c r="B74" s="83" t="s">
        <v>121</v>
      </c>
    </row>
    <row r="75" spans="2:7">
      <c r="B75" s="83" t="s">
        <v>584</v>
      </c>
    </row>
    <row r="76" spans="2:7">
      <c r="B76" s="83" t="s">
        <v>585</v>
      </c>
    </row>
    <row r="77" spans="2:7">
      <c r="B77" s="84"/>
    </row>
    <row r="78" spans="2:7">
      <c r="B78" s="83" t="s">
        <v>586</v>
      </c>
    </row>
    <row r="80" spans="2:7">
      <c r="B80" s="167" t="s">
        <v>83</v>
      </c>
      <c r="C80" s="192"/>
      <c r="D80" s="167"/>
    </row>
    <row r="81" ht="15.75" customHeight="1"/>
  </sheetData>
  <mergeCells count="26">
    <mergeCell ref="B36:B53"/>
    <mergeCell ref="B55:G55"/>
    <mergeCell ref="B69:G69"/>
    <mergeCell ref="B59:B61"/>
    <mergeCell ref="D24:D27"/>
    <mergeCell ref="F24:F27"/>
    <mergeCell ref="D28:D29"/>
    <mergeCell ref="F28:F29"/>
    <mergeCell ref="D30:D34"/>
    <mergeCell ref="F30:F34"/>
    <mergeCell ref="B4:G4"/>
    <mergeCell ref="B5:G5"/>
    <mergeCell ref="B6:G6"/>
    <mergeCell ref="B8:B34"/>
    <mergeCell ref="D8:D9"/>
    <mergeCell ref="F8:F9"/>
    <mergeCell ref="D10:D11"/>
    <mergeCell ref="F10:F11"/>
    <mergeCell ref="D12:D14"/>
    <mergeCell ref="F12:F14"/>
    <mergeCell ref="D15:D18"/>
    <mergeCell ref="F15:F18"/>
    <mergeCell ref="D19:D21"/>
    <mergeCell ref="F19:F21"/>
    <mergeCell ref="D22:D23"/>
    <mergeCell ref="F22:F2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10</vt:i4>
      </vt:variant>
    </vt:vector>
  </HeadingPairs>
  <TitlesOfParts>
    <vt:vector size="10" baseType="lpstr">
      <vt:lpstr>M1</vt:lpstr>
      <vt:lpstr>M2</vt:lpstr>
      <vt:lpstr>M3</vt:lpstr>
      <vt:lpstr>M4</vt:lpstr>
      <vt:lpstr>M5</vt:lpstr>
      <vt:lpstr>M6</vt:lpstr>
      <vt:lpstr>M7</vt:lpstr>
      <vt:lpstr>M8</vt:lpstr>
      <vt:lpstr>M9</vt:lpstr>
      <vt:lpstr>TOTALI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Patrizia Di Terlizzi</dc:creator>
  <cp:lastModifiedBy>Patrizia Di Terlizzi</cp:lastModifiedBy>
  <dcterms:created xsi:type="dcterms:W3CDTF">2024-11-04T09:36:31Z</dcterms:created>
  <dcterms:modified xsi:type="dcterms:W3CDTF">2024-11-21T14:28:56Z</dcterms:modified>
</cp:coreProperties>
</file>